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20" yWindow="45" windowWidth="18975" windowHeight="11955"/>
  </bookViews>
  <sheets>
    <sheet name="Combined for 2016" sheetId="6" r:id="rId1"/>
    <sheet name="2015" sheetId="4" r:id="rId2"/>
    <sheet name="Sheet2" sheetId="2" state="hidden" r:id="rId3"/>
    <sheet name="Sheet3" sheetId="3" state="hidden" r:id="rId4"/>
    <sheet name="DV-IDENTITY-0" sheetId="5" state="veryHidden" r:id="rId5"/>
  </sheets>
  <definedNames>
    <definedName name="_xlnm.Print_Area" localSheetId="1">'2015'!$B$1:$CJ$197</definedName>
    <definedName name="_xlnm.Print_Area" localSheetId="0">'Combined for 2016'!$B$1:$CJ$185</definedName>
    <definedName name="_xlnm.Print_Titles" localSheetId="1">'2015'!$A:$F,'2015'!$1:$1</definedName>
    <definedName name="_xlnm.Print_Titles" localSheetId="0">'Combined for 2016'!$A:$F,'Combined for 2016'!$1:$1</definedName>
    <definedName name="_xlnm.Print_Titles">#REF!,#REF!</definedName>
  </definedNames>
  <calcPr calcId="145621"/>
</workbook>
</file>

<file path=xl/calcChain.xml><?xml version="1.0" encoding="utf-8"?>
<calcChain xmlns="http://schemas.openxmlformats.org/spreadsheetml/2006/main">
  <c r="CF184" i="6" l="1"/>
  <c r="CF25" i="6"/>
  <c r="CK178" i="6" l="1"/>
  <c r="CK176" i="6"/>
  <c r="CK175" i="6"/>
  <c r="CK174" i="6"/>
  <c r="CK170" i="6"/>
  <c r="CK169" i="6"/>
  <c r="CK168" i="6"/>
  <c r="CK167" i="6"/>
  <c r="CK165" i="6"/>
  <c r="CK164" i="6"/>
  <c r="CK163" i="6"/>
  <c r="CK161" i="6"/>
  <c r="CK160" i="6"/>
  <c r="CK159" i="6"/>
  <c r="CK157" i="6"/>
  <c r="CK156" i="6"/>
  <c r="CK155" i="6"/>
  <c r="CK154" i="6"/>
  <c r="CK135" i="6"/>
  <c r="CK134" i="6"/>
  <c r="CK133" i="6"/>
  <c r="CK124" i="6"/>
  <c r="CK131" i="6"/>
  <c r="CK130" i="6"/>
  <c r="CK129" i="6"/>
  <c r="CK128" i="6"/>
  <c r="CK127" i="6"/>
  <c r="CK92" i="6"/>
  <c r="CK126" i="6"/>
  <c r="CK122" i="6"/>
  <c r="CK120" i="6"/>
  <c r="CK119" i="6"/>
  <c r="CK118" i="6"/>
  <c r="CK117" i="6"/>
  <c r="CK116" i="6"/>
  <c r="CK113" i="6"/>
  <c r="CK112" i="6"/>
  <c r="CK111" i="6"/>
  <c r="CK109" i="6"/>
  <c r="CK108" i="6"/>
  <c r="CK107" i="6"/>
  <c r="CK106" i="6"/>
  <c r="CK104" i="6"/>
  <c r="CK103" i="6"/>
  <c r="CK102" i="6"/>
  <c r="CK101" i="6"/>
  <c r="CK99" i="6"/>
  <c r="CK98" i="6"/>
  <c r="CK97" i="6"/>
  <c r="CK94" i="6"/>
  <c r="CK91" i="6"/>
  <c r="CK90" i="6"/>
  <c r="CK89" i="6"/>
  <c r="CK88" i="6"/>
  <c r="CK87" i="6"/>
  <c r="CK86" i="6"/>
  <c r="CK82" i="6"/>
  <c r="CK81" i="6"/>
  <c r="CK80" i="6"/>
  <c r="CK79" i="6"/>
  <c r="CK78" i="6"/>
  <c r="CK70" i="6"/>
  <c r="CK62" i="6"/>
  <c r="CK50" i="6"/>
  <c r="CK42" i="6"/>
  <c r="CK41" i="6"/>
  <c r="CK40" i="6"/>
  <c r="CK36" i="6"/>
  <c r="CK35" i="6"/>
  <c r="CK34" i="6"/>
  <c r="CK32" i="6"/>
  <c r="CK31" i="6"/>
  <c r="CK30" i="6"/>
  <c r="CK28" i="6"/>
  <c r="CK27" i="6"/>
  <c r="CK26" i="6"/>
  <c r="CK25" i="6"/>
  <c r="CK24" i="6"/>
  <c r="CK23" i="6"/>
  <c r="CK22" i="6"/>
  <c r="CK21" i="6"/>
  <c r="CK19" i="6"/>
  <c r="CK17" i="6"/>
  <c r="CK16" i="6"/>
  <c r="CK15" i="6"/>
  <c r="CK12" i="6"/>
  <c r="CK11" i="6"/>
  <c r="CK10" i="6"/>
  <c r="CK9" i="6"/>
  <c r="CK8" i="6"/>
  <c r="CK3" i="6"/>
  <c r="CF100" i="6" l="1"/>
  <c r="CK100" i="6" s="1"/>
  <c r="CF96" i="6"/>
  <c r="CK96" i="6" s="1"/>
  <c r="AJ185" i="6"/>
  <c r="CB184" i="6"/>
  <c r="BU184" i="6"/>
  <c r="BW184" i="6" s="1"/>
  <c r="BQ184" i="6"/>
  <c r="BS184" i="6" s="1"/>
  <c r="BM184" i="6"/>
  <c r="AX184" i="6"/>
  <c r="AS184" i="6"/>
  <c r="Y184" i="6"/>
  <c r="W184" i="6"/>
  <c r="Q184" i="6"/>
  <c r="O184" i="6"/>
  <c r="I184" i="6"/>
  <c r="G184" i="6"/>
  <c r="CD183" i="6"/>
  <c r="BZ183" i="6"/>
  <c r="BQ183" i="6"/>
  <c r="BS183" i="6" s="1"/>
  <c r="CB183" i="6" s="1"/>
  <c r="BM183" i="6"/>
  <c r="BU183" i="6" s="1"/>
  <c r="BD183" i="6"/>
  <c r="AR183" i="6"/>
  <c r="AP183" i="6"/>
  <c r="AN183" i="6" s="1"/>
  <c r="AX183" i="6" s="1"/>
  <c r="AA183" i="6"/>
  <c r="U183" i="6"/>
  <c r="S183" i="6"/>
  <c r="M183" i="6"/>
  <c r="K183" i="6"/>
  <c r="CD182" i="6"/>
  <c r="BZ182" i="6"/>
  <c r="BU182" i="6"/>
  <c r="BW182" i="6" s="1"/>
  <c r="BQ182" i="6"/>
  <c r="BS182" i="6" s="1"/>
  <c r="CB182" i="6" s="1"/>
  <c r="BM182" i="6"/>
  <c r="BD182" i="6"/>
  <c r="AR182" i="6"/>
  <c r="AP182" i="6"/>
  <c r="AN182" i="6" s="1"/>
  <c r="AX182" i="6" s="1"/>
  <c r="AA182" i="6"/>
  <c r="U182" i="6"/>
  <c r="S182" i="6"/>
  <c r="M182" i="6"/>
  <c r="K182" i="6"/>
  <c r="CD181" i="6"/>
  <c r="BZ181" i="6"/>
  <c r="BQ181" i="6"/>
  <c r="BS181" i="6" s="1"/>
  <c r="CB181" i="6" s="1"/>
  <c r="BM181" i="6"/>
  <c r="BU181" i="6" s="1"/>
  <c r="BD181" i="6"/>
  <c r="AR181" i="6"/>
  <c r="AP181" i="6"/>
  <c r="AS181" i="6" s="1"/>
  <c r="AA181" i="6"/>
  <c r="U181" i="6"/>
  <c r="S181" i="6"/>
  <c r="M181" i="6"/>
  <c r="K181" i="6"/>
  <c r="CD180" i="6"/>
  <c r="BZ180" i="6"/>
  <c r="BQ180" i="6"/>
  <c r="BS180" i="6" s="1"/>
  <c r="CB180" i="6" s="1"/>
  <c r="BM180" i="6"/>
  <c r="BU180" i="6" s="1"/>
  <c r="BD180" i="6"/>
  <c r="AR180" i="6"/>
  <c r="AP180" i="6"/>
  <c r="AN180" i="6" s="1"/>
  <c r="AX180" i="6" s="1"/>
  <c r="AA180" i="6"/>
  <c r="U180" i="6"/>
  <c r="S180" i="6"/>
  <c r="M180" i="6"/>
  <c r="K180" i="6"/>
  <c r="CD179" i="6"/>
  <c r="BZ179" i="6"/>
  <c r="BQ179" i="6"/>
  <c r="BS179" i="6" s="1"/>
  <c r="CB179" i="6" s="1"/>
  <c r="BM179" i="6"/>
  <c r="BU179" i="6" s="1"/>
  <c r="BD179" i="6"/>
  <c r="AR179" i="6"/>
  <c r="AP179" i="6"/>
  <c r="AN179" i="6" s="1"/>
  <c r="AX179" i="6" s="1"/>
  <c r="AA179" i="6"/>
  <c r="U179" i="6"/>
  <c r="S179" i="6"/>
  <c r="M179" i="6"/>
  <c r="K179" i="6"/>
  <c r="BW178" i="6"/>
  <c r="BS178" i="6"/>
  <c r="BG178" i="6"/>
  <c r="BM178" i="6" s="1"/>
  <c r="AX178" i="6"/>
  <c r="AS178" i="6"/>
  <c r="AR178" i="6"/>
  <c r="AA178" i="6"/>
  <c r="U178" i="6"/>
  <c r="S178" i="6"/>
  <c r="M178" i="6"/>
  <c r="K178" i="6"/>
  <c r="CF121" i="6"/>
  <c r="CK121" i="6" s="1"/>
  <c r="CD121" i="6"/>
  <c r="CB121" i="6"/>
  <c r="BZ121" i="6"/>
  <c r="BU121" i="6"/>
  <c r="BO121" i="6"/>
  <c r="BQ121" i="6" s="1"/>
  <c r="BL121" i="6"/>
  <c r="BK121" i="6"/>
  <c r="BJ121" i="6"/>
  <c r="BI121" i="6"/>
  <c r="BH121" i="6"/>
  <c r="BG121" i="6"/>
  <c r="BF121" i="6"/>
  <c r="BE121" i="6"/>
  <c r="BD121" i="6"/>
  <c r="BC121" i="6"/>
  <c r="BB121" i="6"/>
  <c r="BA121" i="6"/>
  <c r="AZ121" i="6"/>
  <c r="AY121" i="6"/>
  <c r="AW121" i="6"/>
  <c r="AU121" i="6"/>
  <c r="AT121" i="6"/>
  <c r="AQ121" i="6"/>
  <c r="AP121" i="6"/>
  <c r="AO121" i="6"/>
  <c r="AN121" i="6"/>
  <c r="AL121" i="6"/>
  <c r="CH120" i="6"/>
  <c r="BW120" i="6"/>
  <c r="BS120" i="6"/>
  <c r="BM120" i="6"/>
  <c r="CH119" i="6"/>
  <c r="BW119" i="6"/>
  <c r="BS119" i="6"/>
  <c r="BM119" i="6"/>
  <c r="AV119" i="6"/>
  <c r="CH118" i="6"/>
  <c r="BW118" i="6"/>
  <c r="BS118" i="6"/>
  <c r="BM118" i="6"/>
  <c r="AX118" i="6"/>
  <c r="AS118" i="6"/>
  <c r="AR118" i="6"/>
  <c r="AA118" i="6"/>
  <c r="U118" i="6"/>
  <c r="S118" i="6"/>
  <c r="M118" i="6"/>
  <c r="K118" i="6"/>
  <c r="CH117" i="6"/>
  <c r="BW117" i="6"/>
  <c r="BS117" i="6"/>
  <c r="BM117" i="6"/>
  <c r="AX117" i="6"/>
  <c r="AS117" i="6"/>
  <c r="AR117" i="6"/>
  <c r="AA117" i="6"/>
  <c r="U117" i="6"/>
  <c r="S117" i="6"/>
  <c r="M117" i="6"/>
  <c r="K117" i="6"/>
  <c r="BW116" i="6"/>
  <c r="CH176" i="6"/>
  <c r="BW176" i="6"/>
  <c r="BS176" i="6"/>
  <c r="BM176" i="6"/>
  <c r="AX176" i="6"/>
  <c r="AS176" i="6"/>
  <c r="AR176" i="6"/>
  <c r="AA176" i="6"/>
  <c r="U176" i="6"/>
  <c r="S176" i="6"/>
  <c r="M176" i="6"/>
  <c r="K176" i="6"/>
  <c r="CH175" i="6"/>
  <c r="BW175" i="6"/>
  <c r="BS175" i="6"/>
  <c r="BM175" i="6"/>
  <c r="AX175" i="6"/>
  <c r="AS175" i="6"/>
  <c r="AR175" i="6"/>
  <c r="W175" i="6"/>
  <c r="AA175" i="6" s="1"/>
  <c r="U175" i="6"/>
  <c r="S175" i="6"/>
  <c r="M175" i="6"/>
  <c r="K175" i="6"/>
  <c r="CH174" i="6"/>
  <c r="BW174" i="6"/>
  <c r="BS174" i="6"/>
  <c r="BM174" i="6"/>
  <c r="AS174" i="6"/>
  <c r="AN174" i="6"/>
  <c r="AL174" i="6"/>
  <c r="Y174" i="6"/>
  <c r="W174" i="6"/>
  <c r="Q174" i="6"/>
  <c r="O174" i="6"/>
  <c r="I174" i="6"/>
  <c r="G174" i="6"/>
  <c r="BZ173" i="6"/>
  <c r="BQ173" i="6"/>
  <c r="BS173" i="6" s="1"/>
  <c r="CB173" i="6" s="1"/>
  <c r="BM173" i="6"/>
  <c r="BU173" i="6" s="1"/>
  <c r="BD173" i="6"/>
  <c r="AR173" i="6"/>
  <c r="AP173" i="6"/>
  <c r="AN173" i="6" s="1"/>
  <c r="AX173" i="6" s="1"/>
  <c r="AA173" i="6"/>
  <c r="U173" i="6"/>
  <c r="S173" i="6"/>
  <c r="M173" i="6"/>
  <c r="K173" i="6"/>
  <c r="BZ172" i="6"/>
  <c r="BQ172" i="6"/>
  <c r="BS172" i="6" s="1"/>
  <c r="CB172" i="6" s="1"/>
  <c r="BM172" i="6"/>
  <c r="BU172" i="6" s="1"/>
  <c r="BD172" i="6"/>
  <c r="AS172" i="6"/>
  <c r="AN172" i="6"/>
  <c r="AX172" i="6" s="1"/>
  <c r="BZ171" i="6"/>
  <c r="BQ171" i="6"/>
  <c r="BS171" i="6" s="1"/>
  <c r="CB171" i="6" s="1"/>
  <c r="BM171" i="6"/>
  <c r="BU171" i="6" s="1"/>
  <c r="BD171" i="6"/>
  <c r="AR171" i="6"/>
  <c r="AP171" i="6"/>
  <c r="AS171" i="6" s="1"/>
  <c r="AA171" i="6"/>
  <c r="U171" i="6"/>
  <c r="S171" i="6"/>
  <c r="M171" i="6"/>
  <c r="K171" i="6"/>
  <c r="CH170" i="6"/>
  <c r="BZ170" i="6"/>
  <c r="BQ170" i="6"/>
  <c r="BS170" i="6" s="1"/>
  <c r="BM170" i="6"/>
  <c r="BU170" i="6" s="1"/>
  <c r="BW170" i="6" s="1"/>
  <c r="BD170" i="6"/>
  <c r="AR170" i="6"/>
  <c r="AP170" i="6"/>
  <c r="AS170" i="6" s="1"/>
  <c r="AA170" i="6"/>
  <c r="U170" i="6"/>
  <c r="S170" i="6"/>
  <c r="M170" i="6"/>
  <c r="K170" i="6"/>
  <c r="CH169" i="6"/>
  <c r="BZ169" i="6"/>
  <c r="BQ169" i="6"/>
  <c r="BS169" i="6" s="1"/>
  <c r="BM169" i="6"/>
  <c r="BU169" i="6" s="1"/>
  <c r="BW169" i="6" s="1"/>
  <c r="BD169" i="6"/>
  <c r="AX169" i="6"/>
  <c r="AS169" i="6"/>
  <c r="CH168" i="6"/>
  <c r="BZ168" i="6"/>
  <c r="BW168" i="6"/>
  <c r="BQ168" i="6"/>
  <c r="BS168" i="6" s="1"/>
  <c r="BM168" i="6"/>
  <c r="BD168" i="6"/>
  <c r="AX168" i="6"/>
  <c r="AS168" i="6"/>
  <c r="CH167" i="6"/>
  <c r="BW167" i="6"/>
  <c r="BS167" i="6"/>
  <c r="BM167" i="6"/>
  <c r="AX167" i="6"/>
  <c r="AR167" i="6"/>
  <c r="AP167" i="6"/>
  <c r="AA167" i="6"/>
  <c r="U167" i="6"/>
  <c r="S167" i="6"/>
  <c r="M167" i="6"/>
  <c r="K167" i="6"/>
  <c r="CF166" i="6"/>
  <c r="CD166" i="6"/>
  <c r="CB166" i="6"/>
  <c r="BZ166" i="6"/>
  <c r="BU166" i="6"/>
  <c r="BQ166" i="6"/>
  <c r="BO166" i="6"/>
  <c r="BK166" i="6"/>
  <c r="BG166" i="6"/>
  <c r="AZ166" i="6"/>
  <c r="AV166" i="6"/>
  <c r="AP166" i="6"/>
  <c r="AS166" i="6" s="1"/>
  <c r="AN166" i="6"/>
  <c r="AL166" i="6"/>
  <c r="AH166" i="6"/>
  <c r="AF166" i="6"/>
  <c r="AD166" i="6"/>
  <c r="Y166" i="6"/>
  <c r="W166" i="6"/>
  <c r="Q166" i="6"/>
  <c r="O166" i="6"/>
  <c r="I166" i="6"/>
  <c r="G166" i="6"/>
  <c r="CH165" i="6"/>
  <c r="BW165" i="6"/>
  <c r="BS165" i="6"/>
  <c r="BM165" i="6"/>
  <c r="BI165" i="6"/>
  <c r="BI166" i="6" s="1"/>
  <c r="AX165" i="6"/>
  <c r="AS165" i="6"/>
  <c r="AR165" i="6"/>
  <c r="AA165" i="6"/>
  <c r="U165" i="6"/>
  <c r="S165" i="6"/>
  <c r="M165" i="6"/>
  <c r="K165" i="6"/>
  <c r="CH164" i="6"/>
  <c r="BW164" i="6"/>
  <c r="BS164" i="6"/>
  <c r="BM164" i="6"/>
  <c r="BD164" i="6"/>
  <c r="BD166" i="6" s="1"/>
  <c r="AX164" i="6"/>
  <c r="AS164" i="6"/>
  <c r="AR164" i="6"/>
  <c r="AA164" i="6"/>
  <c r="U164" i="6"/>
  <c r="S164" i="6"/>
  <c r="M164" i="6"/>
  <c r="K164" i="6"/>
  <c r="BW163" i="6"/>
  <c r="AX163" i="6"/>
  <c r="CF162" i="6"/>
  <c r="CK162" i="6" s="1"/>
  <c r="CD162" i="6"/>
  <c r="CB162" i="6"/>
  <c r="BZ162" i="6"/>
  <c r="BU162" i="6"/>
  <c r="BQ162" i="6"/>
  <c r="BO162" i="6"/>
  <c r="BK162" i="6"/>
  <c r="BI162" i="6"/>
  <c r="BG162" i="6"/>
  <c r="BD162" i="6"/>
  <c r="AZ162" i="6"/>
  <c r="AV162" i="6"/>
  <c r="AN162" i="6"/>
  <c r="AL162" i="6"/>
  <c r="AH162" i="6"/>
  <c r="AF162" i="6"/>
  <c r="AD162" i="6"/>
  <c r="Y162" i="6"/>
  <c r="W162" i="6"/>
  <c r="Q162" i="6"/>
  <c r="O162" i="6"/>
  <c r="I162" i="6"/>
  <c r="G162" i="6"/>
  <c r="CH161" i="6"/>
  <c r="BW161" i="6"/>
  <c r="BS161" i="6"/>
  <c r="BM161" i="6"/>
  <c r="AX161" i="6"/>
  <c r="AS161" i="6"/>
  <c r="AR161" i="6"/>
  <c r="AA161" i="6"/>
  <c r="U161" i="6"/>
  <c r="S161" i="6"/>
  <c r="M161" i="6"/>
  <c r="K161" i="6"/>
  <c r="CH160" i="6"/>
  <c r="BW160" i="6"/>
  <c r="BS160" i="6"/>
  <c r="BM160" i="6"/>
  <c r="AX160" i="6"/>
  <c r="AR160" i="6"/>
  <c r="AP160" i="6"/>
  <c r="AS160" i="6" s="1"/>
  <c r="AA160" i="6"/>
  <c r="U160" i="6"/>
  <c r="S160" i="6"/>
  <c r="M160" i="6"/>
  <c r="K160" i="6"/>
  <c r="BW159" i="6"/>
  <c r="AX159" i="6"/>
  <c r="CF158" i="6"/>
  <c r="CK158" i="6" s="1"/>
  <c r="CD158" i="6"/>
  <c r="BZ158" i="6"/>
  <c r="BU158" i="6"/>
  <c r="BQ158" i="6"/>
  <c r="BO158" i="6"/>
  <c r="BK158" i="6"/>
  <c r="BG158" i="6"/>
  <c r="AZ158" i="6"/>
  <c r="AV158" i="6"/>
  <c r="AP158" i="6"/>
  <c r="AS158" i="6" s="1"/>
  <c r="AN158" i="6"/>
  <c r="AL158" i="6"/>
  <c r="AH158" i="6"/>
  <c r="AF158" i="6"/>
  <c r="AD158" i="6"/>
  <c r="Y158" i="6"/>
  <c r="W158" i="6"/>
  <c r="Q158" i="6"/>
  <c r="O158" i="6"/>
  <c r="I158" i="6"/>
  <c r="G158" i="6"/>
  <c r="CB157" i="6"/>
  <c r="CB158" i="6" s="1"/>
  <c r="BW157" i="6"/>
  <c r="BS157" i="6"/>
  <c r="BM157" i="6"/>
  <c r="BI157" i="6"/>
  <c r="BI158" i="6" s="1"/>
  <c r="BD157" i="6"/>
  <c r="BD158" i="6" s="1"/>
  <c r="AX157" i="6"/>
  <c r="AS157" i="6"/>
  <c r="AR157" i="6"/>
  <c r="AA157" i="6"/>
  <c r="U157" i="6"/>
  <c r="S157" i="6"/>
  <c r="M157" i="6"/>
  <c r="K157" i="6"/>
  <c r="CH156" i="6"/>
  <c r="BW156" i="6"/>
  <c r="BS156" i="6"/>
  <c r="BM156" i="6"/>
  <c r="AX156" i="6"/>
  <c r="AS156" i="6"/>
  <c r="AR156" i="6"/>
  <c r="AA156" i="6"/>
  <c r="U156" i="6"/>
  <c r="S156" i="6"/>
  <c r="M156" i="6"/>
  <c r="K156" i="6"/>
  <c r="BW155" i="6"/>
  <c r="AX155" i="6"/>
  <c r="CH154" i="6"/>
  <c r="BW154" i="6"/>
  <c r="BS154" i="6"/>
  <c r="BM154" i="6"/>
  <c r="AX154" i="6"/>
  <c r="AS154" i="6"/>
  <c r="Y154" i="6"/>
  <c r="W154" i="6"/>
  <c r="Q154" i="6"/>
  <c r="O154" i="6"/>
  <c r="I154" i="6"/>
  <c r="G154" i="6"/>
  <c r="CD153" i="6"/>
  <c r="BZ153" i="6"/>
  <c r="BQ153" i="6"/>
  <c r="BS153" i="6" s="1"/>
  <c r="CB153" i="6" s="1"/>
  <c r="BM153" i="6"/>
  <c r="BU153" i="6" s="1"/>
  <c r="BD153" i="6"/>
  <c r="AR153" i="6"/>
  <c r="AP153" i="6"/>
  <c r="AN153" i="6" s="1"/>
  <c r="AX153" i="6" s="1"/>
  <c r="AA153" i="6"/>
  <c r="U153" i="6"/>
  <c r="S153" i="6"/>
  <c r="M153" i="6"/>
  <c r="K153" i="6"/>
  <c r="CD152" i="6"/>
  <c r="BZ152" i="6"/>
  <c r="BQ152" i="6"/>
  <c r="BS152" i="6" s="1"/>
  <c r="CB152" i="6" s="1"/>
  <c r="BM152" i="6"/>
  <c r="BU152" i="6" s="1"/>
  <c r="BD152" i="6"/>
  <c r="AR152" i="6"/>
  <c r="AP152" i="6"/>
  <c r="AS152" i="6" s="1"/>
  <c r="AA152" i="6"/>
  <c r="U152" i="6"/>
  <c r="S152" i="6"/>
  <c r="M152" i="6"/>
  <c r="K152" i="6"/>
  <c r="CD151" i="6"/>
  <c r="BZ151" i="6"/>
  <c r="BQ151" i="6"/>
  <c r="BS151" i="6" s="1"/>
  <c r="CB151" i="6" s="1"/>
  <c r="BM151" i="6"/>
  <c r="BU151" i="6" s="1"/>
  <c r="BD151" i="6"/>
  <c r="AR151" i="6"/>
  <c r="AP151" i="6"/>
  <c r="AN151" i="6" s="1"/>
  <c r="AX151" i="6" s="1"/>
  <c r="AA151" i="6"/>
  <c r="U151" i="6"/>
  <c r="S151" i="6"/>
  <c r="M151" i="6"/>
  <c r="K151" i="6"/>
  <c r="CD150" i="6"/>
  <c r="BZ150" i="6"/>
  <c r="BQ150" i="6"/>
  <c r="BS150" i="6" s="1"/>
  <c r="CB150" i="6" s="1"/>
  <c r="BM150" i="6"/>
  <c r="BU150" i="6" s="1"/>
  <c r="BD150" i="6"/>
  <c r="AR150" i="6"/>
  <c r="AP150" i="6"/>
  <c r="AS150" i="6" s="1"/>
  <c r="AA150" i="6"/>
  <c r="U150" i="6"/>
  <c r="S150" i="6"/>
  <c r="M150" i="6"/>
  <c r="K150" i="6"/>
  <c r="CD149" i="6"/>
  <c r="BZ149" i="6"/>
  <c r="BQ149" i="6"/>
  <c r="BS149" i="6" s="1"/>
  <c r="CB149" i="6" s="1"/>
  <c r="BM149" i="6"/>
  <c r="BU149" i="6" s="1"/>
  <c r="BD149" i="6"/>
  <c r="AR149" i="6"/>
  <c r="AP149" i="6"/>
  <c r="AS149" i="6" s="1"/>
  <c r="AA149" i="6"/>
  <c r="U149" i="6"/>
  <c r="S149" i="6"/>
  <c r="M149" i="6"/>
  <c r="K149" i="6"/>
  <c r="CD148" i="6"/>
  <c r="BZ148" i="6"/>
  <c r="BQ148" i="6"/>
  <c r="BS148" i="6" s="1"/>
  <c r="CB148" i="6" s="1"/>
  <c r="BM148" i="6"/>
  <c r="BU148" i="6" s="1"/>
  <c r="BD148" i="6"/>
  <c r="AR148" i="6"/>
  <c r="AP148" i="6"/>
  <c r="AN148" i="6" s="1"/>
  <c r="AX148" i="6" s="1"/>
  <c r="AA148" i="6"/>
  <c r="U148" i="6"/>
  <c r="S148" i="6"/>
  <c r="M148" i="6"/>
  <c r="K148" i="6"/>
  <c r="CD147" i="6"/>
  <c r="BZ147" i="6"/>
  <c r="BQ147" i="6"/>
  <c r="BS147" i="6" s="1"/>
  <c r="CB147" i="6" s="1"/>
  <c r="BM147" i="6"/>
  <c r="BU147" i="6" s="1"/>
  <c r="BW147" i="6" s="1"/>
  <c r="BD147" i="6"/>
  <c r="AR147" i="6"/>
  <c r="AP147" i="6"/>
  <c r="AS147" i="6" s="1"/>
  <c r="AA147" i="6"/>
  <c r="U147" i="6"/>
  <c r="S147" i="6"/>
  <c r="M147" i="6"/>
  <c r="K147" i="6"/>
  <c r="CD146" i="6"/>
  <c r="BZ146" i="6"/>
  <c r="BQ146" i="6"/>
  <c r="BS146" i="6" s="1"/>
  <c r="CB146" i="6" s="1"/>
  <c r="BM146" i="6"/>
  <c r="BU146" i="6" s="1"/>
  <c r="BD146" i="6"/>
  <c r="AR146" i="6"/>
  <c r="AP146" i="6"/>
  <c r="AN146" i="6" s="1"/>
  <c r="AX146" i="6" s="1"/>
  <c r="AA146" i="6"/>
  <c r="U146" i="6"/>
  <c r="S146" i="6"/>
  <c r="M146" i="6"/>
  <c r="K146" i="6"/>
  <c r="CD145" i="6"/>
  <c r="BZ145" i="6"/>
  <c r="BQ145" i="6"/>
  <c r="BS145" i="6" s="1"/>
  <c r="CB145" i="6" s="1"/>
  <c r="BM145" i="6"/>
  <c r="BU145" i="6" s="1"/>
  <c r="BD145" i="6"/>
  <c r="AR145" i="6"/>
  <c r="AP145" i="6"/>
  <c r="AN145" i="6" s="1"/>
  <c r="AX145" i="6" s="1"/>
  <c r="AA145" i="6"/>
  <c r="U145" i="6"/>
  <c r="S145" i="6"/>
  <c r="M145" i="6"/>
  <c r="K145" i="6"/>
  <c r="CD144" i="6"/>
  <c r="BZ144" i="6"/>
  <c r="BQ144" i="6"/>
  <c r="BS144" i="6" s="1"/>
  <c r="CB144" i="6" s="1"/>
  <c r="BM144" i="6"/>
  <c r="BU144" i="6" s="1"/>
  <c r="BD144" i="6"/>
  <c r="AR144" i="6"/>
  <c r="AP144" i="6"/>
  <c r="AS144" i="6" s="1"/>
  <c r="AA144" i="6"/>
  <c r="U144" i="6"/>
  <c r="S144" i="6"/>
  <c r="M144" i="6"/>
  <c r="K144" i="6"/>
  <c r="CD143" i="6"/>
  <c r="BZ143" i="6"/>
  <c r="BQ143" i="6"/>
  <c r="BS143" i="6" s="1"/>
  <c r="CB143" i="6" s="1"/>
  <c r="BM143" i="6"/>
  <c r="BU143" i="6" s="1"/>
  <c r="BD143" i="6"/>
  <c r="AR143" i="6"/>
  <c r="AP143" i="6"/>
  <c r="AN143" i="6" s="1"/>
  <c r="AX143" i="6" s="1"/>
  <c r="AA143" i="6"/>
  <c r="U143" i="6"/>
  <c r="S143" i="6"/>
  <c r="M143" i="6"/>
  <c r="K143" i="6"/>
  <c r="CD142" i="6"/>
  <c r="BZ142" i="6"/>
  <c r="BQ142" i="6"/>
  <c r="BS142" i="6" s="1"/>
  <c r="CB142" i="6" s="1"/>
  <c r="BM142" i="6"/>
  <c r="BU142" i="6" s="1"/>
  <c r="BD142" i="6"/>
  <c r="AP142" i="6"/>
  <c r="AN142" i="6" s="1"/>
  <c r="AX142" i="6" s="1"/>
  <c r="CD141" i="6"/>
  <c r="BZ141" i="6"/>
  <c r="BQ141" i="6"/>
  <c r="BS141" i="6" s="1"/>
  <c r="CB141" i="6" s="1"/>
  <c r="BM141" i="6"/>
  <c r="BU141" i="6" s="1"/>
  <c r="BD141" i="6"/>
  <c r="AR141" i="6"/>
  <c r="AP141" i="6"/>
  <c r="AS141" i="6" s="1"/>
  <c r="AA141" i="6"/>
  <c r="U141" i="6"/>
  <c r="S141" i="6"/>
  <c r="M141" i="6"/>
  <c r="K141" i="6"/>
  <c r="CD140" i="6"/>
  <c r="BZ140" i="6"/>
  <c r="BQ140" i="6"/>
  <c r="BS140" i="6" s="1"/>
  <c r="CB140" i="6" s="1"/>
  <c r="BM140" i="6"/>
  <c r="BU140" i="6" s="1"/>
  <c r="BD140" i="6"/>
  <c r="AR140" i="6"/>
  <c r="AP140" i="6"/>
  <c r="AN140" i="6" s="1"/>
  <c r="AX140" i="6" s="1"/>
  <c r="AA140" i="6"/>
  <c r="U140" i="6"/>
  <c r="S140" i="6"/>
  <c r="M140" i="6"/>
  <c r="K140" i="6"/>
  <c r="CD139" i="6"/>
  <c r="BZ139" i="6"/>
  <c r="BQ139" i="6"/>
  <c r="BS139" i="6" s="1"/>
  <c r="CB139" i="6" s="1"/>
  <c r="BM139" i="6"/>
  <c r="BU139" i="6" s="1"/>
  <c r="BD139" i="6"/>
  <c r="AR139" i="6"/>
  <c r="AP139" i="6"/>
  <c r="AN139" i="6" s="1"/>
  <c r="AX139" i="6" s="1"/>
  <c r="AA139" i="6"/>
  <c r="U139" i="6"/>
  <c r="S139" i="6"/>
  <c r="M139" i="6"/>
  <c r="K139" i="6"/>
  <c r="CD138" i="6"/>
  <c r="BZ138" i="6"/>
  <c r="BQ138" i="6"/>
  <c r="BS138" i="6" s="1"/>
  <c r="CB138" i="6" s="1"/>
  <c r="BM138" i="6"/>
  <c r="BU138" i="6" s="1"/>
  <c r="BD138" i="6"/>
  <c r="AR138" i="6"/>
  <c r="AP138" i="6"/>
  <c r="AS138" i="6" s="1"/>
  <c r="AA138" i="6"/>
  <c r="U138" i="6"/>
  <c r="S138" i="6"/>
  <c r="M138" i="6"/>
  <c r="K138" i="6"/>
  <c r="CD137" i="6"/>
  <c r="BZ137" i="6"/>
  <c r="BQ137" i="6"/>
  <c r="BS137" i="6" s="1"/>
  <c r="CB137" i="6" s="1"/>
  <c r="BM137" i="6"/>
  <c r="BU137" i="6" s="1"/>
  <c r="BW137" i="6" s="1"/>
  <c r="BD137" i="6"/>
  <c r="AR137" i="6"/>
  <c r="AP137" i="6"/>
  <c r="AN137" i="6" s="1"/>
  <c r="AX137" i="6" s="1"/>
  <c r="AA137" i="6"/>
  <c r="U137" i="6"/>
  <c r="S137" i="6"/>
  <c r="M137" i="6"/>
  <c r="K137" i="6"/>
  <c r="CF136" i="6"/>
  <c r="CK136" i="6" s="1"/>
  <c r="CD136" i="6"/>
  <c r="CB136" i="6"/>
  <c r="BZ136" i="6"/>
  <c r="BU136" i="6"/>
  <c r="BQ136" i="6"/>
  <c r="BO136" i="6"/>
  <c r="BK136" i="6"/>
  <c r="BI136" i="6"/>
  <c r="BG136" i="6"/>
  <c r="BD136" i="6"/>
  <c r="AV136" i="6"/>
  <c r="AP136" i="6"/>
  <c r="AS136" i="6" s="1"/>
  <c r="AN136" i="6"/>
  <c r="AL136" i="6"/>
  <c r="AH136" i="6"/>
  <c r="AF136" i="6"/>
  <c r="Y136" i="6"/>
  <c r="Q136" i="6"/>
  <c r="O136" i="6"/>
  <c r="I136" i="6"/>
  <c r="G136" i="6"/>
  <c r="CH135" i="6"/>
  <c r="BW135" i="6"/>
  <c r="BS135" i="6"/>
  <c r="BM135" i="6"/>
  <c r="AX135" i="6"/>
  <c r="AS135" i="6"/>
  <c r="AR135" i="6"/>
  <c r="W135" i="6"/>
  <c r="W136" i="6" s="1"/>
  <c r="U135" i="6"/>
  <c r="S135" i="6"/>
  <c r="M135" i="6"/>
  <c r="K135" i="6"/>
  <c r="CH134" i="6"/>
  <c r="BW134" i="6"/>
  <c r="BS134" i="6"/>
  <c r="BM134" i="6"/>
  <c r="AX134" i="6"/>
  <c r="AS134" i="6"/>
  <c r="AR134" i="6"/>
  <c r="AA134" i="6"/>
  <c r="U134" i="6"/>
  <c r="S134" i="6"/>
  <c r="M134" i="6"/>
  <c r="K134" i="6"/>
  <c r="AX133" i="6"/>
  <c r="AX124" i="6"/>
  <c r="CF132" i="6"/>
  <c r="CK132" i="6" s="1"/>
  <c r="CD132" i="6"/>
  <c r="CB132" i="6"/>
  <c r="BZ132" i="6"/>
  <c r="BU132" i="6"/>
  <c r="Q132" i="6"/>
  <c r="O132" i="6"/>
  <c r="I132" i="6"/>
  <c r="G132" i="6"/>
  <c r="CH131" i="6"/>
  <c r="BW131" i="6"/>
  <c r="BS131" i="6"/>
  <c r="BM131" i="6"/>
  <c r="AX131" i="6"/>
  <c r="AS131" i="6"/>
  <c r="AR131" i="6"/>
  <c r="AA131" i="6"/>
  <c r="U131" i="6"/>
  <c r="S131" i="6"/>
  <c r="M131" i="6"/>
  <c r="K131" i="6"/>
  <c r="CH130" i="6"/>
  <c r="BW130" i="6"/>
  <c r="BS130" i="6"/>
  <c r="BM130" i="6"/>
  <c r="AX130" i="6"/>
  <c r="AR130" i="6"/>
  <c r="AP130" i="6"/>
  <c r="AS130" i="6" s="1"/>
  <c r="AA130" i="6"/>
  <c r="U130" i="6"/>
  <c r="S130" i="6"/>
  <c r="M130" i="6"/>
  <c r="K130" i="6"/>
  <c r="CH129" i="6"/>
  <c r="BW129" i="6"/>
  <c r="BS129" i="6"/>
  <c r="BM129" i="6"/>
  <c r="AX129" i="6"/>
  <c r="AR129" i="6"/>
  <c r="AP129" i="6"/>
  <c r="AS129" i="6" s="1"/>
  <c r="AA129" i="6"/>
  <c r="U129" i="6"/>
  <c r="S129" i="6"/>
  <c r="M129" i="6"/>
  <c r="K129" i="6"/>
  <c r="CH128" i="6"/>
  <c r="BW128" i="6"/>
  <c r="BS128" i="6"/>
  <c r="BM128" i="6"/>
  <c r="AX128" i="6"/>
  <c r="AR128" i="6"/>
  <c r="AP128" i="6"/>
  <c r="AS128" i="6" s="1"/>
  <c r="AA128" i="6"/>
  <c r="U128" i="6"/>
  <c r="S128" i="6"/>
  <c r="M128" i="6"/>
  <c r="K128" i="6"/>
  <c r="CH127" i="6"/>
  <c r="BW127" i="6"/>
  <c r="BS127" i="6"/>
  <c r="BM127" i="6"/>
  <c r="AX127" i="6"/>
  <c r="AS127" i="6"/>
  <c r="AR127" i="6"/>
  <c r="AA127" i="6"/>
  <c r="U127" i="6"/>
  <c r="S127" i="6"/>
  <c r="M127" i="6"/>
  <c r="K127" i="6"/>
  <c r="CH92" i="6"/>
  <c r="BW92" i="6"/>
  <c r="BS92" i="6"/>
  <c r="BM92" i="6"/>
  <c r="AX92" i="6"/>
  <c r="AS92" i="6"/>
  <c r="AR92" i="6"/>
  <c r="AA92" i="6"/>
  <c r="U92" i="6"/>
  <c r="S92" i="6"/>
  <c r="M92" i="6"/>
  <c r="K92" i="6"/>
  <c r="BW126" i="6"/>
  <c r="AX126" i="6"/>
  <c r="BL123" i="6"/>
  <c r="BJ123" i="6"/>
  <c r="BH123" i="6"/>
  <c r="BF123" i="6"/>
  <c r="BE123" i="6"/>
  <c r="BC123" i="6"/>
  <c r="BB123" i="6"/>
  <c r="BA123" i="6"/>
  <c r="AY123" i="6"/>
  <c r="AW123" i="6"/>
  <c r="AU123" i="6"/>
  <c r="AT123" i="6"/>
  <c r="AQ123" i="6"/>
  <c r="AO123" i="6"/>
  <c r="CH122" i="6"/>
  <c r="BW122" i="6"/>
  <c r="BS122" i="6"/>
  <c r="BM122" i="6"/>
  <c r="AX122" i="6"/>
  <c r="AS122" i="6"/>
  <c r="AR122" i="6"/>
  <c r="W122" i="6"/>
  <c r="AA122" i="6" s="1"/>
  <c r="U122" i="6"/>
  <c r="S122" i="6"/>
  <c r="M122" i="6"/>
  <c r="K122" i="6"/>
  <c r="CF114" i="6"/>
  <c r="CK114" i="6" s="1"/>
  <c r="CD114" i="6"/>
  <c r="CB114" i="6"/>
  <c r="BU114" i="6"/>
  <c r="BL114" i="6"/>
  <c r="BK114" i="6"/>
  <c r="BJ114" i="6"/>
  <c r="BH114" i="6"/>
  <c r="BG114" i="6"/>
  <c r="BF114" i="6"/>
  <c r="BE114" i="6"/>
  <c r="BD114" i="6"/>
  <c r="BC114" i="6"/>
  <c r="BB114" i="6"/>
  <c r="BA114" i="6"/>
  <c r="AZ114" i="6"/>
  <c r="AY114" i="6"/>
  <c r="AX114" i="6"/>
  <c r="AW114" i="6"/>
  <c r="AV114" i="6"/>
  <c r="AU114" i="6"/>
  <c r="AT114" i="6"/>
  <c r="AS114" i="6"/>
  <c r="AR114" i="6"/>
  <c r="AQ114" i="6"/>
  <c r="AP114" i="6"/>
  <c r="AO114" i="6"/>
  <c r="AN114" i="6"/>
  <c r="AL114" i="6"/>
  <c r="AH114" i="6"/>
  <c r="AD114" i="6"/>
  <c r="CH113" i="6"/>
  <c r="BZ113" i="6"/>
  <c r="BW113" i="6"/>
  <c r="BQ113" i="6"/>
  <c r="BS113" i="6" s="1"/>
  <c r="BM113" i="6"/>
  <c r="AA113" i="6"/>
  <c r="U113" i="6"/>
  <c r="S113" i="6"/>
  <c r="M113" i="6"/>
  <c r="K113" i="6"/>
  <c r="CH112" i="6"/>
  <c r="BW112" i="6"/>
  <c r="BS112" i="6"/>
  <c r="BM112" i="6"/>
  <c r="AA112" i="6"/>
  <c r="U112" i="6"/>
  <c r="S112" i="6"/>
  <c r="M112" i="6"/>
  <c r="K112" i="6"/>
  <c r="CH111" i="6"/>
  <c r="AX111" i="6"/>
  <c r="CF110" i="6"/>
  <c r="CK110" i="6" s="1"/>
  <c r="CD110" i="6"/>
  <c r="CB110" i="6"/>
  <c r="BZ110" i="6"/>
  <c r="BU110" i="6"/>
  <c r="BQ110" i="6"/>
  <c r="BO110" i="6"/>
  <c r="BK110" i="6"/>
  <c r="BI110" i="6"/>
  <c r="BG110" i="6"/>
  <c r="AV110" i="6"/>
  <c r="AP110" i="6"/>
  <c r="AS110" i="6" s="1"/>
  <c r="AN110" i="6"/>
  <c r="AL110" i="6"/>
  <c r="AH110" i="6"/>
  <c r="AH115" i="6" s="1"/>
  <c r="AD110" i="6"/>
  <c r="Y110" i="6"/>
  <c r="W110" i="6"/>
  <c r="Q110" i="6"/>
  <c r="Q114" i="6" s="1"/>
  <c r="O110" i="6"/>
  <c r="O114" i="6" s="1"/>
  <c r="I110" i="6"/>
  <c r="G110" i="6"/>
  <c r="CH109" i="6"/>
  <c r="BW109" i="6"/>
  <c r="BS109" i="6"/>
  <c r="BM109" i="6"/>
  <c r="AX109" i="6"/>
  <c r="AS109" i="6"/>
  <c r="AR109" i="6"/>
  <c r="AA109" i="6"/>
  <c r="U109" i="6"/>
  <c r="S109" i="6"/>
  <c r="M109" i="6"/>
  <c r="K109" i="6"/>
  <c r="CH108" i="6"/>
  <c r="BW108" i="6"/>
  <c r="BS108" i="6"/>
  <c r="BM108" i="6"/>
  <c r="AX108" i="6"/>
  <c r="AS108" i="6"/>
  <c r="AR108" i="6"/>
  <c r="AA108" i="6"/>
  <c r="U108" i="6"/>
  <c r="S108" i="6"/>
  <c r="M108" i="6"/>
  <c r="K108" i="6"/>
  <c r="BD110" i="6"/>
  <c r="CH107" i="6"/>
  <c r="BW107" i="6"/>
  <c r="BS107" i="6"/>
  <c r="BM107" i="6"/>
  <c r="AX107" i="6"/>
  <c r="AS107" i="6"/>
  <c r="AR107" i="6"/>
  <c r="AA107" i="6"/>
  <c r="U107" i="6"/>
  <c r="S107" i="6"/>
  <c r="M107" i="6"/>
  <c r="K107" i="6"/>
  <c r="CH106" i="6"/>
  <c r="BW106" i="6"/>
  <c r="AX106" i="6"/>
  <c r="CF105" i="6"/>
  <c r="CK105" i="6" s="1"/>
  <c r="CD105" i="6"/>
  <c r="CB105" i="6"/>
  <c r="BU105" i="6"/>
  <c r="BO105" i="6"/>
  <c r="BK105" i="6"/>
  <c r="BI105" i="6"/>
  <c r="BG105" i="6"/>
  <c r="BD105" i="6"/>
  <c r="AV105" i="6"/>
  <c r="AP105" i="6"/>
  <c r="AS105" i="6" s="1"/>
  <c r="AN105" i="6"/>
  <c r="AL105" i="6"/>
  <c r="AD105" i="6"/>
  <c r="Y105" i="6"/>
  <c r="W105" i="6"/>
  <c r="Q105" i="6"/>
  <c r="O105" i="6"/>
  <c r="I105" i="6"/>
  <c r="G105" i="6"/>
  <c r="CH104" i="6"/>
  <c r="BZ104" i="6"/>
  <c r="BZ105" i="6" s="1"/>
  <c r="BW104" i="6"/>
  <c r="BQ104" i="6"/>
  <c r="BS104" i="6" s="1"/>
  <c r="BM104" i="6"/>
  <c r="AX104" i="6"/>
  <c r="AS104" i="6"/>
  <c r="AR104" i="6"/>
  <c r="AA104" i="6"/>
  <c r="U104" i="6"/>
  <c r="S104" i="6"/>
  <c r="M104" i="6"/>
  <c r="K104" i="6"/>
  <c r="CH103" i="6"/>
  <c r="BW103" i="6"/>
  <c r="BQ103" i="6"/>
  <c r="BS103" i="6" s="1"/>
  <c r="BM103" i="6"/>
  <c r="AX103" i="6"/>
  <c r="AS103" i="6"/>
  <c r="AR103" i="6"/>
  <c r="AA103" i="6"/>
  <c r="U103" i="6"/>
  <c r="S103" i="6"/>
  <c r="M103" i="6"/>
  <c r="K103" i="6"/>
  <c r="CH102" i="6"/>
  <c r="BW102" i="6"/>
  <c r="BQ102" i="6"/>
  <c r="BS102" i="6" s="1"/>
  <c r="BM102" i="6"/>
  <c r="AX102" i="6"/>
  <c r="AS102" i="6"/>
  <c r="AR102" i="6"/>
  <c r="AA102" i="6"/>
  <c r="U102" i="6"/>
  <c r="S102" i="6"/>
  <c r="M102" i="6"/>
  <c r="K102" i="6"/>
  <c r="BW101" i="6"/>
  <c r="AX101" i="6"/>
  <c r="CD100" i="6"/>
  <c r="CB100" i="6"/>
  <c r="BZ100" i="6"/>
  <c r="BU100" i="6"/>
  <c r="BQ100" i="6"/>
  <c r="BO100" i="6"/>
  <c r="BK100" i="6"/>
  <c r="BI100" i="6"/>
  <c r="BG100" i="6"/>
  <c r="AZ100" i="6"/>
  <c r="AZ115" i="6" s="1"/>
  <c r="AZ123" i="6" s="1"/>
  <c r="AV100" i="6"/>
  <c r="AP100" i="6"/>
  <c r="AS100" i="6" s="1"/>
  <c r="AL100" i="6"/>
  <c r="AX100" i="6" s="1"/>
  <c r="AD100" i="6"/>
  <c r="Y100" i="6"/>
  <c r="Q100" i="6"/>
  <c r="O100" i="6"/>
  <c r="I100" i="6"/>
  <c r="G100" i="6"/>
  <c r="CH99" i="6"/>
  <c r="BW99" i="6"/>
  <c r="BS99" i="6"/>
  <c r="BM99" i="6"/>
  <c r="AX99" i="6"/>
  <c r="AS99" i="6"/>
  <c r="AR99" i="6"/>
  <c r="W99" i="6"/>
  <c r="W100" i="6" s="1"/>
  <c r="U99" i="6"/>
  <c r="S99" i="6"/>
  <c r="M99" i="6"/>
  <c r="K99" i="6"/>
  <c r="BD100" i="6"/>
  <c r="CH98" i="6"/>
  <c r="BW98" i="6"/>
  <c r="BS98" i="6"/>
  <c r="BM98" i="6"/>
  <c r="AX98" i="6"/>
  <c r="AS98" i="6"/>
  <c r="AR98" i="6"/>
  <c r="AA98" i="6"/>
  <c r="U98" i="6"/>
  <c r="S98" i="6"/>
  <c r="M98" i="6"/>
  <c r="K98" i="6"/>
  <c r="AX97" i="6"/>
  <c r="BK93" i="6"/>
  <c r="BF93" i="6"/>
  <c r="BE93" i="6"/>
  <c r="AH93" i="6"/>
  <c r="CH91" i="6"/>
  <c r="BW91" i="6"/>
  <c r="BS91" i="6"/>
  <c r="BM91" i="6"/>
  <c r="AX91" i="6"/>
  <c r="AS91" i="6"/>
  <c r="AR91" i="6"/>
  <c r="AA91" i="6"/>
  <c r="U91" i="6"/>
  <c r="S91" i="6"/>
  <c r="M91" i="6"/>
  <c r="K91" i="6"/>
  <c r="CH90" i="6"/>
  <c r="BW90" i="6"/>
  <c r="BS90" i="6"/>
  <c r="BM90" i="6"/>
  <c r="AX90" i="6"/>
  <c r="AS90" i="6"/>
  <c r="AR90" i="6"/>
  <c r="AF90" i="6"/>
  <c r="AA90" i="6"/>
  <c r="U90" i="6"/>
  <c r="S90" i="6"/>
  <c r="M90" i="6"/>
  <c r="K90" i="6"/>
  <c r="CH89" i="6"/>
  <c r="BZ89" i="6"/>
  <c r="BW89" i="6"/>
  <c r="BQ89" i="6"/>
  <c r="BS89" i="6" s="1"/>
  <c r="BM89" i="6"/>
  <c r="CH88" i="6"/>
  <c r="BW88" i="6"/>
  <c r="BS88" i="6"/>
  <c r="BM88" i="6"/>
  <c r="AX88" i="6"/>
  <c r="AS88" i="6"/>
  <c r="AR88" i="6"/>
  <c r="AA88" i="6"/>
  <c r="U88" i="6"/>
  <c r="S88" i="6"/>
  <c r="M88" i="6"/>
  <c r="K88" i="6"/>
  <c r="CH87" i="6"/>
  <c r="BW87" i="6"/>
  <c r="BS87" i="6"/>
  <c r="AX87" i="6"/>
  <c r="AS87" i="6"/>
  <c r="AR87" i="6"/>
  <c r="AA87" i="6"/>
  <c r="U87" i="6"/>
  <c r="S87" i="6"/>
  <c r="M87" i="6"/>
  <c r="K87" i="6"/>
  <c r="CH86" i="6"/>
  <c r="BW86" i="6"/>
  <c r="BS86" i="6"/>
  <c r="BM86" i="6"/>
  <c r="BD86" i="6"/>
  <c r="AV86" i="6"/>
  <c r="AP86" i="6"/>
  <c r="AS86" i="6" s="1"/>
  <c r="AL86" i="6"/>
  <c r="Y86" i="6"/>
  <c r="W86" i="6"/>
  <c r="Q86" i="6"/>
  <c r="O86" i="6"/>
  <c r="I86" i="6"/>
  <c r="G86" i="6"/>
  <c r="CD85" i="6"/>
  <c r="BZ85" i="6"/>
  <c r="BQ85" i="6"/>
  <c r="BS85" i="6" s="1"/>
  <c r="CB85" i="6" s="1"/>
  <c r="BM85" i="6"/>
  <c r="BU85" i="6" s="1"/>
  <c r="BD85" i="6"/>
  <c r="AX85" i="6"/>
  <c r="AS85" i="6"/>
  <c r="AR85" i="6"/>
  <c r="AA85" i="6"/>
  <c r="U85" i="6"/>
  <c r="S85" i="6"/>
  <c r="M85" i="6"/>
  <c r="K85" i="6"/>
  <c r="CD84" i="6"/>
  <c r="BZ84" i="6"/>
  <c r="BQ84" i="6"/>
  <c r="BS84" i="6" s="1"/>
  <c r="CB84" i="6" s="1"/>
  <c r="BM84" i="6"/>
  <c r="BU84" i="6" s="1"/>
  <c r="BD84" i="6"/>
  <c r="AX84" i="6"/>
  <c r="AS84" i="6"/>
  <c r="AR84" i="6"/>
  <c r="AA84" i="6"/>
  <c r="U84" i="6"/>
  <c r="S84" i="6"/>
  <c r="M84" i="6"/>
  <c r="K84" i="6"/>
  <c r="CD83" i="6"/>
  <c r="BZ83" i="6"/>
  <c r="BQ83" i="6"/>
  <c r="BS83" i="6" s="1"/>
  <c r="CB83" i="6" s="1"/>
  <c r="BM83" i="6"/>
  <c r="BU83" i="6" s="1"/>
  <c r="BD83" i="6"/>
  <c r="AS83" i="6"/>
  <c r="CH82" i="6"/>
  <c r="BW82" i="6"/>
  <c r="BS82" i="6"/>
  <c r="BM82" i="6"/>
  <c r="AX82" i="6"/>
  <c r="AS82" i="6"/>
  <c r="AR82" i="6"/>
  <c r="AA82" i="6"/>
  <c r="U82" i="6"/>
  <c r="S82" i="6"/>
  <c r="M82" i="6"/>
  <c r="K82" i="6"/>
  <c r="CH81" i="6"/>
  <c r="BZ81" i="6"/>
  <c r="BZ93" i="6" s="1"/>
  <c r="BW81" i="6"/>
  <c r="BS81" i="6"/>
  <c r="BM81" i="6"/>
  <c r="BI81" i="6"/>
  <c r="AX81" i="6"/>
  <c r="AS81" i="6"/>
  <c r="AR81" i="6"/>
  <c r="AA81" i="6"/>
  <c r="U81" i="6"/>
  <c r="S81" i="6"/>
  <c r="M81" i="6"/>
  <c r="K81" i="6"/>
  <c r="CH80" i="6"/>
  <c r="BW80" i="6"/>
  <c r="BS80" i="6"/>
  <c r="BM80" i="6"/>
  <c r="AX80" i="6"/>
  <c r="AS80" i="6"/>
  <c r="AR80" i="6"/>
  <c r="AA80" i="6"/>
  <c r="U80" i="6"/>
  <c r="S80" i="6"/>
  <c r="M80" i="6"/>
  <c r="K80" i="6"/>
  <c r="CH79" i="6"/>
  <c r="BU79" i="6"/>
  <c r="BU93" i="6" s="1"/>
  <c r="BS79" i="6"/>
  <c r="BO79" i="6"/>
  <c r="BO93" i="6" s="1"/>
  <c r="BO132" i="6" s="1"/>
  <c r="BI79" i="6"/>
  <c r="BG79" i="6"/>
  <c r="AZ79" i="6"/>
  <c r="AZ93" i="6" s="1"/>
  <c r="AV79" i="6"/>
  <c r="AP79" i="6"/>
  <c r="AS79" i="6" s="1"/>
  <c r="AN79" i="6"/>
  <c r="AN93" i="6" s="1"/>
  <c r="AF79" i="6"/>
  <c r="AD79" i="6"/>
  <c r="AD93" i="6" s="1"/>
  <c r="CH78" i="6"/>
  <c r="BZ78" i="6"/>
  <c r="BW78" i="6"/>
  <c r="BQ78" i="6"/>
  <c r="BS78" i="6" s="1"/>
  <c r="BM78" i="6"/>
  <c r="AX78" i="6"/>
  <c r="AS78" i="6"/>
  <c r="Y78" i="6"/>
  <c r="W78" i="6"/>
  <c r="Q78" i="6"/>
  <c r="O78" i="6"/>
  <c r="I78" i="6"/>
  <c r="G78" i="6"/>
  <c r="CD77" i="6"/>
  <c r="BZ77" i="6"/>
  <c r="BQ77" i="6"/>
  <c r="BS77" i="6" s="1"/>
  <c r="CB77" i="6" s="1"/>
  <c r="BM77" i="6"/>
  <c r="BU77" i="6" s="1"/>
  <c r="BD77" i="6"/>
  <c r="AR77" i="6"/>
  <c r="AP77" i="6"/>
  <c r="AS77" i="6" s="1"/>
  <c r="AA77" i="6"/>
  <c r="U77" i="6"/>
  <c r="S77" i="6"/>
  <c r="M77" i="6"/>
  <c r="K77" i="6"/>
  <c r="CD76" i="6"/>
  <c r="BZ76" i="6"/>
  <c r="BQ76" i="6"/>
  <c r="BS76" i="6" s="1"/>
  <c r="CB76" i="6" s="1"/>
  <c r="BM76" i="6"/>
  <c r="BU76" i="6" s="1"/>
  <c r="BD76" i="6"/>
  <c r="AP76" i="6"/>
  <c r="AN76" i="6" s="1"/>
  <c r="AX76" i="6" s="1"/>
  <c r="CD75" i="6"/>
  <c r="BZ75" i="6"/>
  <c r="BQ75" i="6"/>
  <c r="BS75" i="6" s="1"/>
  <c r="CB75" i="6" s="1"/>
  <c r="BM75" i="6"/>
  <c r="BU75" i="6" s="1"/>
  <c r="BD75" i="6"/>
  <c r="AP75" i="6"/>
  <c r="AN75" i="6" s="1"/>
  <c r="AX75" i="6" s="1"/>
  <c r="CD74" i="6"/>
  <c r="BZ74" i="6"/>
  <c r="BQ74" i="6"/>
  <c r="BS74" i="6" s="1"/>
  <c r="CB74" i="6" s="1"/>
  <c r="BM74" i="6"/>
  <c r="BU74" i="6" s="1"/>
  <c r="BD74" i="6"/>
  <c r="AP74" i="6"/>
  <c r="AN74" i="6" s="1"/>
  <c r="AX74" i="6" s="1"/>
  <c r="CD73" i="6"/>
  <c r="BZ73" i="6"/>
  <c r="BQ73" i="6"/>
  <c r="BS73" i="6" s="1"/>
  <c r="CB73" i="6" s="1"/>
  <c r="BM73" i="6"/>
  <c r="BU73" i="6" s="1"/>
  <c r="BD73" i="6"/>
  <c r="AP73" i="6"/>
  <c r="AN73" i="6" s="1"/>
  <c r="AX73" i="6" s="1"/>
  <c r="CD72" i="6"/>
  <c r="BZ72" i="6"/>
  <c r="BQ72" i="6"/>
  <c r="BS72" i="6" s="1"/>
  <c r="CB72" i="6" s="1"/>
  <c r="BM72" i="6"/>
  <c r="BU72" i="6" s="1"/>
  <c r="BD72" i="6"/>
  <c r="AP72" i="6"/>
  <c r="AN72" i="6" s="1"/>
  <c r="AX72" i="6" s="1"/>
  <c r="CD71" i="6"/>
  <c r="BZ71" i="6"/>
  <c r="BQ71" i="6"/>
  <c r="BS71" i="6" s="1"/>
  <c r="CB71" i="6" s="1"/>
  <c r="BM71" i="6"/>
  <c r="BU71" i="6" s="1"/>
  <c r="BW71" i="6" s="1"/>
  <c r="BD71" i="6"/>
  <c r="AP71" i="6"/>
  <c r="AS71" i="6" s="1"/>
  <c r="CH70" i="6"/>
  <c r="BZ70" i="6"/>
  <c r="BW70" i="6"/>
  <c r="BQ70" i="6"/>
  <c r="BS70" i="6" s="1"/>
  <c r="BM70" i="6"/>
  <c r="BD70" i="6"/>
  <c r="BD79" i="6" s="1"/>
  <c r="AX70" i="6"/>
  <c r="AS70" i="6"/>
  <c r="Y70" i="6"/>
  <c r="W70" i="6"/>
  <c r="Q70" i="6"/>
  <c r="O70" i="6"/>
  <c r="I70" i="6"/>
  <c r="G70" i="6"/>
  <c r="CD69" i="6"/>
  <c r="BZ69" i="6"/>
  <c r="BQ69" i="6"/>
  <c r="BS69" i="6" s="1"/>
  <c r="CB69" i="6" s="1"/>
  <c r="BM69" i="6"/>
  <c r="BU69" i="6" s="1"/>
  <c r="BD69" i="6"/>
  <c r="AR69" i="6"/>
  <c r="AP69" i="6"/>
  <c r="AN69" i="6" s="1"/>
  <c r="AX69" i="6" s="1"/>
  <c r="AA69" i="6"/>
  <c r="U69" i="6"/>
  <c r="S69" i="6"/>
  <c r="M69" i="6"/>
  <c r="K69" i="6"/>
  <c r="CD68" i="6"/>
  <c r="BZ68" i="6"/>
  <c r="BQ68" i="6"/>
  <c r="BS68" i="6" s="1"/>
  <c r="CB68" i="6" s="1"/>
  <c r="BM68" i="6"/>
  <c r="BU68" i="6" s="1"/>
  <c r="BD68" i="6"/>
  <c r="AP68" i="6"/>
  <c r="AN68" i="6" s="1"/>
  <c r="AX68" i="6" s="1"/>
  <c r="CD67" i="6"/>
  <c r="BZ67" i="6"/>
  <c r="BQ67" i="6"/>
  <c r="BS67" i="6" s="1"/>
  <c r="CB67" i="6" s="1"/>
  <c r="BM67" i="6"/>
  <c r="BU67" i="6" s="1"/>
  <c r="BD67" i="6"/>
  <c r="AP67" i="6"/>
  <c r="AS67" i="6" s="1"/>
  <c r="CD66" i="6"/>
  <c r="BZ66" i="6"/>
  <c r="BQ66" i="6"/>
  <c r="BS66" i="6" s="1"/>
  <c r="CB66" i="6" s="1"/>
  <c r="BM66" i="6"/>
  <c r="BU66" i="6" s="1"/>
  <c r="BD66" i="6"/>
  <c r="AP66" i="6"/>
  <c r="AN66" i="6" s="1"/>
  <c r="AX66" i="6" s="1"/>
  <c r="CD65" i="6"/>
  <c r="BZ65" i="6"/>
  <c r="BQ65" i="6"/>
  <c r="BS65" i="6" s="1"/>
  <c r="CB65" i="6" s="1"/>
  <c r="BM65" i="6"/>
  <c r="BU65" i="6" s="1"/>
  <c r="BD65" i="6"/>
  <c r="AP65" i="6"/>
  <c r="AN65" i="6" s="1"/>
  <c r="AX65" i="6" s="1"/>
  <c r="CD64" i="6"/>
  <c r="BZ64" i="6"/>
  <c r="BQ64" i="6"/>
  <c r="BS64" i="6" s="1"/>
  <c r="CB64" i="6" s="1"/>
  <c r="BM64" i="6"/>
  <c r="BU64" i="6" s="1"/>
  <c r="BD64" i="6"/>
  <c r="AP64" i="6"/>
  <c r="AN64" i="6" s="1"/>
  <c r="AX64" i="6" s="1"/>
  <c r="CD63" i="6"/>
  <c r="BZ63" i="6"/>
  <c r="BQ63" i="6"/>
  <c r="BS63" i="6" s="1"/>
  <c r="CB63" i="6" s="1"/>
  <c r="BM63" i="6"/>
  <c r="BU63" i="6" s="1"/>
  <c r="BD63" i="6"/>
  <c r="AP63" i="6"/>
  <c r="AN63" i="6" s="1"/>
  <c r="AX63" i="6" s="1"/>
  <c r="CH62" i="6"/>
  <c r="BZ62" i="6"/>
  <c r="BW62" i="6"/>
  <c r="BQ62" i="6"/>
  <c r="BS62" i="6" s="1"/>
  <c r="BM62" i="6"/>
  <c r="AX62" i="6"/>
  <c r="AS62" i="6"/>
  <c r="Y62" i="6"/>
  <c r="W62" i="6"/>
  <c r="Q62" i="6"/>
  <c r="O62" i="6"/>
  <c r="I62" i="6"/>
  <c r="G62" i="6"/>
  <c r="CD61" i="6"/>
  <c r="BZ61" i="6"/>
  <c r="BQ61" i="6"/>
  <c r="BS61" i="6" s="1"/>
  <c r="CB61" i="6" s="1"/>
  <c r="BM61" i="6"/>
  <c r="BU61" i="6" s="1"/>
  <c r="BD61" i="6"/>
  <c r="AR61" i="6"/>
  <c r="AP61" i="6"/>
  <c r="AS61" i="6" s="1"/>
  <c r="AA61" i="6"/>
  <c r="U61" i="6"/>
  <c r="S61" i="6"/>
  <c r="M61" i="6"/>
  <c r="K61" i="6"/>
  <c r="CD60" i="6"/>
  <c r="BZ60" i="6"/>
  <c r="BQ60" i="6"/>
  <c r="BS60" i="6" s="1"/>
  <c r="CB60" i="6" s="1"/>
  <c r="BM60" i="6"/>
  <c r="BU60" i="6" s="1"/>
  <c r="BD60" i="6"/>
  <c r="AP60" i="6"/>
  <c r="AN60" i="6" s="1"/>
  <c r="AX60" i="6" s="1"/>
  <c r="CD59" i="6"/>
  <c r="BZ59" i="6"/>
  <c r="BQ59" i="6"/>
  <c r="BS59" i="6" s="1"/>
  <c r="CB59" i="6" s="1"/>
  <c r="BM59" i="6"/>
  <c r="BU59" i="6" s="1"/>
  <c r="BD59" i="6"/>
  <c r="AP59" i="6"/>
  <c r="AN59" i="6" s="1"/>
  <c r="AX59" i="6" s="1"/>
  <c r="CD58" i="6"/>
  <c r="BZ58" i="6"/>
  <c r="BQ58" i="6"/>
  <c r="BS58" i="6" s="1"/>
  <c r="CB58" i="6" s="1"/>
  <c r="BM58" i="6"/>
  <c r="BU58" i="6" s="1"/>
  <c r="BD58" i="6"/>
  <c r="AP58" i="6"/>
  <c r="AN58" i="6" s="1"/>
  <c r="AX58" i="6" s="1"/>
  <c r="CD57" i="6"/>
  <c r="BZ57" i="6"/>
  <c r="BQ57" i="6"/>
  <c r="BS57" i="6" s="1"/>
  <c r="CB57" i="6" s="1"/>
  <c r="BM57" i="6"/>
  <c r="BU57" i="6" s="1"/>
  <c r="BD57" i="6"/>
  <c r="AP57" i="6"/>
  <c r="AN57" i="6" s="1"/>
  <c r="AX57" i="6" s="1"/>
  <c r="CD56" i="6"/>
  <c r="BZ56" i="6"/>
  <c r="BQ56" i="6"/>
  <c r="BS56" i="6" s="1"/>
  <c r="CB56" i="6" s="1"/>
  <c r="BM56" i="6"/>
  <c r="BU56" i="6" s="1"/>
  <c r="BD56" i="6"/>
  <c r="AP56" i="6"/>
  <c r="AS56" i="6" s="1"/>
  <c r="CD55" i="6"/>
  <c r="BZ55" i="6"/>
  <c r="BQ55" i="6"/>
  <c r="BS55" i="6" s="1"/>
  <c r="CB55" i="6" s="1"/>
  <c r="BM55" i="6"/>
  <c r="BU55" i="6" s="1"/>
  <c r="BD55" i="6"/>
  <c r="AP55" i="6"/>
  <c r="AN55" i="6" s="1"/>
  <c r="AX55" i="6" s="1"/>
  <c r="CD54" i="6"/>
  <c r="BZ54" i="6"/>
  <c r="BQ54" i="6"/>
  <c r="BS54" i="6" s="1"/>
  <c r="CB54" i="6" s="1"/>
  <c r="BM54" i="6"/>
  <c r="BU54" i="6" s="1"/>
  <c r="BD54" i="6"/>
  <c r="AP54" i="6"/>
  <c r="AN54" i="6" s="1"/>
  <c r="AX54" i="6" s="1"/>
  <c r="CD53" i="6"/>
  <c r="BZ53" i="6"/>
  <c r="BQ53" i="6"/>
  <c r="BS53" i="6" s="1"/>
  <c r="CB53" i="6" s="1"/>
  <c r="BM53" i="6"/>
  <c r="BU53" i="6" s="1"/>
  <c r="BD53" i="6"/>
  <c r="AP53" i="6"/>
  <c r="AN53" i="6" s="1"/>
  <c r="AX53" i="6" s="1"/>
  <c r="CD52" i="6"/>
  <c r="BZ52" i="6"/>
  <c r="BQ52" i="6"/>
  <c r="BS52" i="6" s="1"/>
  <c r="CB52" i="6" s="1"/>
  <c r="BM52" i="6"/>
  <c r="BU52" i="6" s="1"/>
  <c r="BD52" i="6"/>
  <c r="AP52" i="6"/>
  <c r="AN52" i="6" s="1"/>
  <c r="AX52" i="6" s="1"/>
  <c r="CD51" i="6"/>
  <c r="BZ51" i="6"/>
  <c r="BQ51" i="6"/>
  <c r="BS51" i="6" s="1"/>
  <c r="CB51" i="6" s="1"/>
  <c r="BM51" i="6"/>
  <c r="BU51" i="6" s="1"/>
  <c r="BD51" i="6"/>
  <c r="AP51" i="6"/>
  <c r="AN51" i="6" s="1"/>
  <c r="AX51" i="6" s="1"/>
  <c r="CH50" i="6"/>
  <c r="BZ50" i="6"/>
  <c r="BW50" i="6"/>
  <c r="BQ50" i="6"/>
  <c r="BS50" i="6" s="1"/>
  <c r="BM50" i="6"/>
  <c r="AS50" i="6"/>
  <c r="AL50" i="6"/>
  <c r="AL79" i="6" s="1"/>
  <c r="Y50" i="6"/>
  <c r="CD49" i="6"/>
  <c r="BZ49" i="6"/>
  <c r="BQ49" i="6"/>
  <c r="BS49" i="6" s="1"/>
  <c r="BM49" i="6"/>
  <c r="BD49" i="6"/>
  <c r="AH49" i="6"/>
  <c r="Y49" i="6"/>
  <c r="W49" i="6"/>
  <c r="Q49" i="6"/>
  <c r="Q50" i="6" s="1"/>
  <c r="O49" i="6"/>
  <c r="I49" i="6"/>
  <c r="G49" i="6"/>
  <c r="CD48" i="6"/>
  <c r="BZ48" i="6"/>
  <c r="BQ48" i="6"/>
  <c r="BS48" i="6" s="1"/>
  <c r="BM48" i="6"/>
  <c r="BD48" i="6"/>
  <c r="AR48" i="6"/>
  <c r="AP48" i="6"/>
  <c r="AN48" i="6" s="1"/>
  <c r="AX48" i="6" s="1"/>
  <c r="AA48" i="6"/>
  <c r="U48" i="6"/>
  <c r="S48" i="6"/>
  <c r="M48" i="6"/>
  <c r="K48" i="6"/>
  <c r="CD47" i="6"/>
  <c r="BZ47" i="6"/>
  <c r="BQ47" i="6"/>
  <c r="BS47" i="6" s="1"/>
  <c r="BM47" i="6"/>
  <c r="BD47" i="6"/>
  <c r="AR47" i="6"/>
  <c r="AP47" i="6"/>
  <c r="AS47" i="6" s="1"/>
  <c r="AA47" i="6"/>
  <c r="U47" i="6"/>
  <c r="S47" i="6"/>
  <c r="M47" i="6"/>
  <c r="K47" i="6"/>
  <c r="CD46" i="6"/>
  <c r="BZ46" i="6"/>
  <c r="BQ46" i="6"/>
  <c r="BS46" i="6" s="1"/>
  <c r="BM46" i="6"/>
  <c r="BD46" i="6"/>
  <c r="AS46" i="6"/>
  <c r="AN46" i="6"/>
  <c r="AX46" i="6" s="1"/>
  <c r="CD45" i="6"/>
  <c r="BZ45" i="6"/>
  <c r="BQ45" i="6"/>
  <c r="BS45" i="6" s="1"/>
  <c r="BM45" i="6"/>
  <c r="BD45" i="6"/>
  <c r="AR45" i="6"/>
  <c r="AP45" i="6"/>
  <c r="AN45" i="6" s="1"/>
  <c r="AX45" i="6" s="1"/>
  <c r="AA45" i="6"/>
  <c r="U45" i="6"/>
  <c r="S45" i="6"/>
  <c r="M45" i="6"/>
  <c r="K45" i="6"/>
  <c r="CD44" i="6"/>
  <c r="BZ44" i="6"/>
  <c r="BQ44" i="6"/>
  <c r="BS44" i="6" s="1"/>
  <c r="BM44" i="6"/>
  <c r="BD44" i="6"/>
  <c r="AR44" i="6"/>
  <c r="AP44" i="6"/>
  <c r="AS44" i="6" s="1"/>
  <c r="AA44" i="6"/>
  <c r="U44" i="6"/>
  <c r="S44" i="6"/>
  <c r="M44" i="6"/>
  <c r="K44" i="6"/>
  <c r="CD43" i="6"/>
  <c r="BZ43" i="6"/>
  <c r="BQ43" i="6"/>
  <c r="BS43" i="6" s="1"/>
  <c r="BM43" i="6"/>
  <c r="BD43" i="6"/>
  <c r="AX43" i="6"/>
  <c r="AS43" i="6"/>
  <c r="CH42" i="6"/>
  <c r="BZ42" i="6"/>
  <c r="BW42" i="6"/>
  <c r="BQ42" i="6"/>
  <c r="BS42" i="6" s="1"/>
  <c r="BM42" i="6"/>
  <c r="AX42" i="6"/>
  <c r="AS42" i="6"/>
  <c r="AR42" i="6"/>
  <c r="AA42" i="6"/>
  <c r="U42" i="6"/>
  <c r="S42" i="6"/>
  <c r="M42" i="6"/>
  <c r="K42" i="6"/>
  <c r="CH41" i="6"/>
  <c r="BW41" i="6"/>
  <c r="AS41" i="6"/>
  <c r="CH40" i="6"/>
  <c r="BW40" i="6"/>
  <c r="BQ40" i="6"/>
  <c r="BQ93" i="6" s="1"/>
  <c r="BM40" i="6"/>
  <c r="BD40" i="6"/>
  <c r="AX40" i="6"/>
  <c r="AR40" i="6"/>
  <c r="AP40" i="6"/>
  <c r="AS40" i="6" s="1"/>
  <c r="AA40" i="6"/>
  <c r="U40" i="6"/>
  <c r="S40" i="6"/>
  <c r="M40" i="6"/>
  <c r="K40" i="6"/>
  <c r="CF39" i="6"/>
  <c r="CF93" i="6" s="1"/>
  <c r="CD39" i="6"/>
  <c r="CD93" i="6" s="1"/>
  <c r="CB39" i="6"/>
  <c r="CB93" i="6" s="1"/>
  <c r="BW39" i="6"/>
  <c r="BS39" i="6"/>
  <c r="BG39" i="6"/>
  <c r="BM39" i="6" s="1"/>
  <c r="BD39" i="6"/>
  <c r="AX39" i="6"/>
  <c r="Y39" i="6"/>
  <c r="W39" i="6"/>
  <c r="Q39" i="6"/>
  <c r="O39" i="6"/>
  <c r="I39" i="6"/>
  <c r="G39" i="6"/>
  <c r="CD38" i="6"/>
  <c r="BZ38" i="6"/>
  <c r="BQ38" i="6"/>
  <c r="BS38" i="6" s="1"/>
  <c r="CB38" i="6" s="1"/>
  <c r="BM38" i="6"/>
  <c r="BU38" i="6" s="1"/>
  <c r="BD38" i="6"/>
  <c r="AX38" i="6"/>
  <c r="AP38" i="6"/>
  <c r="AS38" i="6" s="1"/>
  <c r="CD37" i="6"/>
  <c r="BZ37" i="6"/>
  <c r="BQ37" i="6"/>
  <c r="BS37" i="6" s="1"/>
  <c r="CB37" i="6" s="1"/>
  <c r="BM37" i="6"/>
  <c r="BU37" i="6" s="1"/>
  <c r="BD37" i="6"/>
  <c r="AX37" i="6"/>
  <c r="AS37" i="6"/>
  <c r="CH36" i="6"/>
  <c r="BW36" i="6"/>
  <c r="BS36" i="6"/>
  <c r="BM36" i="6"/>
  <c r="AX36" i="6"/>
  <c r="AR36" i="6"/>
  <c r="AP36" i="6"/>
  <c r="AS36" i="6" s="1"/>
  <c r="AA36" i="6"/>
  <c r="U36" i="6"/>
  <c r="S36" i="6"/>
  <c r="M36" i="6"/>
  <c r="K36" i="6"/>
  <c r="CH35" i="6"/>
  <c r="BW35" i="6"/>
  <c r="BS35" i="6"/>
  <c r="BM35" i="6"/>
  <c r="AX35" i="6"/>
  <c r="AS35" i="6"/>
  <c r="AR35" i="6"/>
  <c r="AA35" i="6"/>
  <c r="U35" i="6"/>
  <c r="S35" i="6"/>
  <c r="M35" i="6"/>
  <c r="K35" i="6"/>
  <c r="BW34" i="6"/>
  <c r="BD34" i="6"/>
  <c r="AX34" i="6"/>
  <c r="BQ33" i="6"/>
  <c r="CH32" i="6"/>
  <c r="BS32" i="6"/>
  <c r="BM32" i="6"/>
  <c r="BU32" i="6" s="1"/>
  <c r="CH31" i="6"/>
  <c r="BW31" i="6"/>
  <c r="BS31" i="6"/>
  <c r="BM31" i="6"/>
  <c r="CH30" i="6"/>
  <c r="BW30" i="6"/>
  <c r="BS30" i="6"/>
  <c r="BM30" i="6"/>
  <c r="AW30" i="6"/>
  <c r="AS30" i="6"/>
  <c r="CF29" i="6"/>
  <c r="CD29" i="6"/>
  <c r="CD33" i="6" s="1"/>
  <c r="CB29" i="6"/>
  <c r="BZ29" i="6"/>
  <c r="BU29" i="6"/>
  <c r="BQ29" i="6"/>
  <c r="BL29" i="6"/>
  <c r="BK29" i="6"/>
  <c r="BJ29" i="6"/>
  <c r="BH29" i="6"/>
  <c r="BG29" i="6"/>
  <c r="BF29" i="6"/>
  <c r="BE29" i="6"/>
  <c r="BD29" i="6"/>
  <c r="BC29" i="6"/>
  <c r="BB29" i="6"/>
  <c r="BA29" i="6"/>
  <c r="AZ29" i="6"/>
  <c r="AY29" i="6"/>
  <c r="AW29" i="6"/>
  <c r="AV29" i="6"/>
  <c r="AU29" i="6"/>
  <c r="AT29" i="6"/>
  <c r="AR29" i="6"/>
  <c r="AQ29" i="6"/>
  <c r="AO29" i="6"/>
  <c r="AN29" i="6"/>
  <c r="AL29" i="6"/>
  <c r="CH28" i="6"/>
  <c r="BW28" i="6"/>
  <c r="BS28" i="6"/>
  <c r="BM28" i="6"/>
  <c r="BI28" i="6"/>
  <c r="BI29" i="6" s="1"/>
  <c r="CH27" i="6"/>
  <c r="BW27" i="6"/>
  <c r="BS27" i="6"/>
  <c r="BM27" i="6"/>
  <c r="AX27" i="6"/>
  <c r="AX29" i="6" s="1"/>
  <c r="AP27" i="6"/>
  <c r="AP29" i="6" s="1"/>
  <c r="CH26" i="6"/>
  <c r="BW26" i="6"/>
  <c r="BS26" i="6"/>
  <c r="BM26" i="6"/>
  <c r="CB25" i="6"/>
  <c r="CH25" i="6" s="1"/>
  <c r="BZ25" i="6"/>
  <c r="BU25" i="6"/>
  <c r="BO25" i="6"/>
  <c r="BL25" i="6"/>
  <c r="BL33" i="6" s="1"/>
  <c r="BK25" i="6"/>
  <c r="BJ25" i="6"/>
  <c r="BJ33" i="6" s="1"/>
  <c r="BH25" i="6"/>
  <c r="BH33" i="6" s="1"/>
  <c r="BG25" i="6"/>
  <c r="BF25" i="6"/>
  <c r="BF33" i="6" s="1"/>
  <c r="BE25" i="6"/>
  <c r="BE33" i="6" s="1"/>
  <c r="BC25" i="6"/>
  <c r="BC33" i="6" s="1"/>
  <c r="BB25" i="6"/>
  <c r="BB33" i="6" s="1"/>
  <c r="BA25" i="6"/>
  <c r="BA33" i="6" s="1"/>
  <c r="AZ25" i="6"/>
  <c r="AZ33" i="6" s="1"/>
  <c r="AY25" i="6"/>
  <c r="AY33" i="6" s="1"/>
  <c r="AW25" i="6"/>
  <c r="AV25" i="6"/>
  <c r="AU25" i="6"/>
  <c r="AU33" i="6" s="1"/>
  <c r="AT25" i="6"/>
  <c r="AT33" i="6" s="1"/>
  <c r="AQ25" i="6"/>
  <c r="AQ33" i="6" s="1"/>
  <c r="AP25" i="6"/>
  <c r="AP33" i="6" s="1"/>
  <c r="AO25" i="6"/>
  <c r="AO33" i="6" s="1"/>
  <c r="AN25" i="6"/>
  <c r="AL25" i="6"/>
  <c r="AH25" i="6"/>
  <c r="AF25" i="6"/>
  <c r="AF123" i="6" s="1"/>
  <c r="AD25" i="6"/>
  <c r="AH123" i="6" s="1"/>
  <c r="Y25" i="6"/>
  <c r="W25" i="6"/>
  <c r="Q25" i="6"/>
  <c r="O25" i="6"/>
  <c r="I25" i="6"/>
  <c r="G25" i="6"/>
  <c r="CH24" i="6"/>
  <c r="CD24" i="6"/>
  <c r="BW24" i="6"/>
  <c r="BS24" i="6"/>
  <c r="BM24" i="6"/>
  <c r="BI24" i="6"/>
  <c r="BI25" i="6" s="1"/>
  <c r="BD24" i="6"/>
  <c r="BD25" i="6" s="1"/>
  <c r="AX24" i="6"/>
  <c r="AS24" i="6"/>
  <c r="AR24" i="6"/>
  <c r="AA24" i="6"/>
  <c r="U24" i="6"/>
  <c r="S24" i="6"/>
  <c r="M24" i="6"/>
  <c r="K24" i="6"/>
  <c r="CH23" i="6"/>
  <c r="CD23" i="6"/>
  <c r="BW23" i="6"/>
  <c r="BQ23" i="6"/>
  <c r="BQ25" i="6" s="1"/>
  <c r="BM23" i="6"/>
  <c r="AX23" i="6"/>
  <c r="AS23" i="6"/>
  <c r="AR23" i="6"/>
  <c r="AA23" i="6"/>
  <c r="U23" i="6"/>
  <c r="S23" i="6"/>
  <c r="M23" i="6"/>
  <c r="K23" i="6"/>
  <c r="CH22" i="6"/>
  <c r="CD22" i="6"/>
  <c r="BW22" i="6"/>
  <c r="BS22" i="6"/>
  <c r="BM22" i="6"/>
  <c r="AX22" i="6"/>
  <c r="AS22" i="6"/>
  <c r="AR22" i="6"/>
  <c r="AA22" i="6"/>
  <c r="U22" i="6"/>
  <c r="S22" i="6"/>
  <c r="M22" i="6"/>
  <c r="K22" i="6"/>
  <c r="CH21" i="6"/>
  <c r="BW21" i="6"/>
  <c r="BS21" i="6"/>
  <c r="BM21" i="6"/>
  <c r="BD21" i="6"/>
  <c r="AX21" i="6"/>
  <c r="AS21" i="6"/>
  <c r="AR21" i="6"/>
  <c r="AA21" i="6"/>
  <c r="U21" i="6"/>
  <c r="S21" i="6"/>
  <c r="M21" i="6"/>
  <c r="K21" i="6"/>
  <c r="CF18" i="6"/>
  <c r="CK18" i="6" s="1"/>
  <c r="CD18" i="6"/>
  <c r="CB18" i="6"/>
  <c r="BZ18" i="6"/>
  <c r="BU18" i="6"/>
  <c r="BQ18" i="6"/>
  <c r="BL18" i="6"/>
  <c r="BK18" i="6"/>
  <c r="BJ18" i="6"/>
  <c r="BI18" i="6"/>
  <c r="BH18" i="6"/>
  <c r="BG18" i="6"/>
  <c r="BF18" i="6"/>
  <c r="BE18" i="6"/>
  <c r="BC18" i="6"/>
  <c r="BB18" i="6"/>
  <c r="BA18" i="6"/>
  <c r="AZ18" i="6"/>
  <c r="AY18" i="6"/>
  <c r="AW18" i="6"/>
  <c r="AV18" i="6"/>
  <c r="AU18" i="6"/>
  <c r="AT18" i="6"/>
  <c r="AQ18" i="6"/>
  <c r="AP18" i="6"/>
  <c r="AO18" i="6"/>
  <c r="AN18" i="6"/>
  <c r="AL18" i="6"/>
  <c r="CH17" i="6"/>
  <c r="BW17" i="6"/>
  <c r="BS17" i="6"/>
  <c r="BM17" i="6"/>
  <c r="CH16" i="6"/>
  <c r="BW16" i="6"/>
  <c r="BS16" i="6"/>
  <c r="BM16" i="6"/>
  <c r="BD16" i="6"/>
  <c r="BD18" i="6" s="1"/>
  <c r="AX16" i="6"/>
  <c r="AX18" i="6" s="1"/>
  <c r="AS16" i="6"/>
  <c r="AS18" i="6" s="1"/>
  <c r="AR16" i="6"/>
  <c r="AR18" i="6" s="1"/>
  <c r="AA16" i="6"/>
  <c r="U16" i="6"/>
  <c r="S16" i="6"/>
  <c r="M16" i="6"/>
  <c r="K16" i="6"/>
  <c r="CD14" i="6"/>
  <c r="BQ14" i="6"/>
  <c r="BO14" i="6"/>
  <c r="BK14" i="6"/>
  <c r="CF13" i="6"/>
  <c r="CB13" i="6"/>
  <c r="CB14" i="6" s="1"/>
  <c r="BS13" i="6"/>
  <c r="BI13" i="6"/>
  <c r="BG13" i="6"/>
  <c r="BM13" i="6" s="1"/>
  <c r="AV13" i="6"/>
  <c r="AS13" i="6"/>
  <c r="AR13" i="6"/>
  <c r="AN13" i="6"/>
  <c r="AL13" i="6"/>
  <c r="AH13" i="6"/>
  <c r="AF13" i="6"/>
  <c r="AD13" i="6"/>
  <c r="Y13" i="6"/>
  <c r="W13" i="6"/>
  <c r="Q13" i="6"/>
  <c r="O13" i="6"/>
  <c r="I13" i="6"/>
  <c r="G13" i="6"/>
  <c r="CH12" i="6"/>
  <c r="CD12" i="6"/>
  <c r="BZ12" i="6"/>
  <c r="BU12" i="6"/>
  <c r="BU13" i="6" s="1"/>
  <c r="BO12" i="6"/>
  <c r="BQ12" i="6" s="1"/>
  <c r="BS12" i="6" s="1"/>
  <c r="BM12" i="6"/>
  <c r="AX12" i="6"/>
  <c r="AS12" i="6"/>
  <c r="AA12" i="6"/>
  <c r="U12" i="6"/>
  <c r="S12" i="6"/>
  <c r="M12" i="6"/>
  <c r="K12" i="6"/>
  <c r="CH11" i="6"/>
  <c r="CD11" i="6"/>
  <c r="BZ11" i="6"/>
  <c r="BW11" i="6"/>
  <c r="BQ11" i="6"/>
  <c r="BS11" i="6" s="1"/>
  <c r="BM11" i="6"/>
  <c r="BD11" i="6"/>
  <c r="AX11" i="6"/>
  <c r="AS11" i="6"/>
  <c r="AA11" i="6"/>
  <c r="U11" i="6"/>
  <c r="S11" i="6"/>
  <c r="M11" i="6"/>
  <c r="K11" i="6"/>
  <c r="CH10" i="6"/>
  <c r="CD10" i="6"/>
  <c r="BZ10" i="6"/>
  <c r="BW10" i="6"/>
  <c r="BQ10" i="6"/>
  <c r="BS10" i="6" s="1"/>
  <c r="BM10" i="6"/>
  <c r="BD10" i="6"/>
  <c r="AX10" i="6"/>
  <c r="AS10" i="6"/>
  <c r="AA10" i="6"/>
  <c r="U10" i="6"/>
  <c r="S10" i="6"/>
  <c r="M10" i="6"/>
  <c r="K10" i="6"/>
  <c r="CH9" i="6"/>
  <c r="CH8" i="6"/>
  <c r="BU8" i="6"/>
  <c r="BS8" i="6"/>
  <c r="BI8" i="6"/>
  <c r="BG8" i="6"/>
  <c r="AV8" i="6"/>
  <c r="AS8" i="6"/>
  <c r="AR8" i="6"/>
  <c r="AN8" i="6"/>
  <c r="AL8" i="6"/>
  <c r="AH8" i="6"/>
  <c r="AF8" i="6"/>
  <c r="AD8" i="6"/>
  <c r="Y8" i="6"/>
  <c r="W8" i="6"/>
  <c r="Q8" i="6"/>
  <c r="O8" i="6"/>
  <c r="I8" i="6"/>
  <c r="G8" i="6"/>
  <c r="BZ7" i="6"/>
  <c r="BW7" i="6"/>
  <c r="BQ7" i="6"/>
  <c r="BS7" i="6" s="1"/>
  <c r="BM7" i="6"/>
  <c r="AX7" i="6"/>
  <c r="AS7" i="6"/>
  <c r="AA7" i="6"/>
  <c r="U7" i="6"/>
  <c r="S7" i="6"/>
  <c r="M7" i="6"/>
  <c r="K7" i="6"/>
  <c r="BZ6" i="6"/>
  <c r="BW6" i="6"/>
  <c r="BQ6" i="6"/>
  <c r="BS6" i="6" s="1"/>
  <c r="AX6" i="6"/>
  <c r="AS6" i="6"/>
  <c r="AA6" i="6"/>
  <c r="U6" i="6"/>
  <c r="S6" i="6"/>
  <c r="M6" i="6"/>
  <c r="K6" i="6"/>
  <c r="BZ5" i="6"/>
  <c r="BW5" i="6"/>
  <c r="BS5" i="6"/>
  <c r="BM5" i="6"/>
  <c r="BD5" i="6"/>
  <c r="BD8" i="6" s="1"/>
  <c r="AX5" i="6"/>
  <c r="AS5" i="6"/>
  <c r="AA5" i="6"/>
  <c r="U5" i="6"/>
  <c r="S5" i="6"/>
  <c r="M5" i="6"/>
  <c r="K5" i="6"/>
  <c r="CH3" i="6"/>
  <c r="BW3" i="6"/>
  <c r="BS3" i="6"/>
  <c r="BG3" i="6"/>
  <c r="BM3" i="6" s="1"/>
  <c r="AX3" i="6"/>
  <c r="AS3" i="6"/>
  <c r="AA3" i="6"/>
  <c r="U3" i="6"/>
  <c r="S3" i="6"/>
  <c r="M3" i="6"/>
  <c r="K3" i="6"/>
  <c r="CF196" i="4"/>
  <c r="BS136" i="6" l="1"/>
  <c r="AA105" i="6"/>
  <c r="AR121" i="6"/>
  <c r="U25" i="6"/>
  <c r="U132" i="6"/>
  <c r="CK166" i="6"/>
  <c r="CF177" i="6"/>
  <c r="AA158" i="6"/>
  <c r="AA162" i="6"/>
  <c r="K166" i="6"/>
  <c r="CB47" i="6"/>
  <c r="AS64" i="6"/>
  <c r="CH149" i="6"/>
  <c r="K13" i="6"/>
  <c r="M174" i="6"/>
  <c r="AX121" i="6"/>
  <c r="CF33" i="6"/>
  <c r="CK33" i="6" s="1"/>
  <c r="CK29" i="6"/>
  <c r="CH140" i="6"/>
  <c r="AH132" i="6"/>
  <c r="CH181" i="6"/>
  <c r="CK184" i="6"/>
  <c r="M110" i="6"/>
  <c r="AX110" i="6"/>
  <c r="AR162" i="6"/>
  <c r="CH183" i="6"/>
  <c r="CF14" i="6"/>
  <c r="CK14" i="6" s="1"/>
  <c r="CK13" i="6"/>
  <c r="AS27" i="6"/>
  <c r="AS29" i="6" s="1"/>
  <c r="CH157" i="6"/>
  <c r="AA99" i="6"/>
  <c r="U8" i="6"/>
  <c r="CK93" i="6"/>
  <c r="CK39" i="6"/>
  <c r="AR158" i="6"/>
  <c r="U166" i="6"/>
  <c r="S174" i="6"/>
  <c r="CF73" i="6"/>
  <c r="CK73" i="6" s="1"/>
  <c r="U62" i="6"/>
  <c r="AX13" i="6"/>
  <c r="M13" i="6"/>
  <c r="AA25" i="6"/>
  <c r="AS66" i="6"/>
  <c r="BW105" i="6"/>
  <c r="AS145" i="6"/>
  <c r="CH148" i="6"/>
  <c r="CF179" i="6"/>
  <c r="CK179" i="6" s="1"/>
  <c r="BW18" i="6"/>
  <c r="AR100" i="6"/>
  <c r="Q115" i="6"/>
  <c r="U115" i="6" s="1"/>
  <c r="S184" i="6"/>
  <c r="BS29" i="6"/>
  <c r="AS51" i="6"/>
  <c r="AA110" i="6"/>
  <c r="U154" i="6"/>
  <c r="AD177" i="6"/>
  <c r="CF172" i="6"/>
  <c r="AX174" i="6"/>
  <c r="CH121" i="6"/>
  <c r="K49" i="6"/>
  <c r="CF75" i="6"/>
  <c r="BO177" i="6"/>
  <c r="AA8" i="6"/>
  <c r="CB44" i="6"/>
  <c r="AS73" i="6"/>
  <c r="U78" i="6"/>
  <c r="U86" i="6"/>
  <c r="AA100" i="6"/>
  <c r="BS105" i="6"/>
  <c r="U174" i="6"/>
  <c r="CF77" i="6"/>
  <c r="CK77" i="6" s="1"/>
  <c r="BS110" i="6"/>
  <c r="M8" i="6"/>
  <c r="S100" i="6"/>
  <c r="K132" i="6"/>
  <c r="S162" i="6"/>
  <c r="K100" i="6"/>
  <c r="AX162" i="6"/>
  <c r="AA184" i="6"/>
  <c r="CH184" i="6"/>
  <c r="AV14" i="6"/>
  <c r="BD33" i="6"/>
  <c r="K25" i="6"/>
  <c r="CB43" i="6"/>
  <c r="CB45" i="6"/>
  <c r="AS75" i="6"/>
  <c r="CH132" i="6"/>
  <c r="CH152" i="6"/>
  <c r="K158" i="6"/>
  <c r="K162" i="6"/>
  <c r="CH166" i="6"/>
  <c r="CF180" i="6"/>
  <c r="CK180" i="6" s="1"/>
  <c r="BM166" i="6"/>
  <c r="S62" i="6"/>
  <c r="AN71" i="6"/>
  <c r="AX71" i="6" s="1"/>
  <c r="BM25" i="6"/>
  <c r="BD13" i="6"/>
  <c r="BD14" i="6" s="1"/>
  <c r="AA70" i="6"/>
  <c r="U114" i="6"/>
  <c r="CF141" i="6"/>
  <c r="CK141" i="6" s="1"/>
  <c r="CH158" i="6"/>
  <c r="S25" i="6"/>
  <c r="K70" i="6"/>
  <c r="BD115" i="6"/>
  <c r="BD123" i="6" s="1"/>
  <c r="BM110" i="6"/>
  <c r="G177" i="6"/>
  <c r="BS14" i="6"/>
  <c r="AA39" i="6"/>
  <c r="AX50" i="6"/>
  <c r="AN56" i="6"/>
  <c r="AX56" i="6" s="1"/>
  <c r="U70" i="6"/>
  <c r="S78" i="6"/>
  <c r="M86" i="6"/>
  <c r="AV93" i="6"/>
  <c r="K105" i="6"/>
  <c r="K136" i="6"/>
  <c r="AR174" i="6"/>
  <c r="M184" i="6"/>
  <c r="CF148" i="6"/>
  <c r="CK148" i="6" s="1"/>
  <c r="BW148" i="6"/>
  <c r="S8" i="6"/>
  <c r="AA49" i="6"/>
  <c r="K62" i="6"/>
  <c r="AR78" i="6"/>
  <c r="CH105" i="6"/>
  <c r="CH137" i="6"/>
  <c r="AA154" i="6"/>
  <c r="S158" i="6"/>
  <c r="AX158" i="6"/>
  <c r="CD177" i="6"/>
  <c r="AN171" i="6"/>
  <c r="AX171" i="6" s="1"/>
  <c r="CF182" i="6"/>
  <c r="CK182" i="6" s="1"/>
  <c r="K184" i="6"/>
  <c r="AX8" i="6"/>
  <c r="BS23" i="6"/>
  <c r="CF38" i="6"/>
  <c r="U49" i="6"/>
  <c r="CF58" i="6"/>
  <c r="CF60" i="6"/>
  <c r="AS65" i="6"/>
  <c r="CF67" i="6"/>
  <c r="BG93" i="6"/>
  <c r="AR86" i="6"/>
  <c r="S86" i="6"/>
  <c r="M136" i="6"/>
  <c r="CH143" i="6"/>
  <c r="CH146" i="6"/>
  <c r="CH153" i="6"/>
  <c r="M158" i="6"/>
  <c r="BW158" i="6"/>
  <c r="CH162" i="6"/>
  <c r="M166" i="6"/>
  <c r="BW172" i="6"/>
  <c r="AS180" i="6"/>
  <c r="BG33" i="6"/>
  <c r="Y177" i="6"/>
  <c r="AA13" i="6"/>
  <c r="AX25" i="6"/>
  <c r="AX33" i="6" s="1"/>
  <c r="BI33" i="6"/>
  <c r="CH29" i="6"/>
  <c r="S39" i="6"/>
  <c r="AX79" i="6"/>
  <c r="AS54" i="6"/>
  <c r="BW79" i="6"/>
  <c r="BM100" i="6"/>
  <c r="M105" i="6"/>
  <c r="AX105" i="6"/>
  <c r="BU115" i="6"/>
  <c r="BU123" i="6" s="1"/>
  <c r="Y115" i="6"/>
  <c r="Y123" i="6" s="1"/>
  <c r="BM136" i="6"/>
  <c r="CH141" i="6"/>
  <c r="AS143" i="6"/>
  <c r="AS146" i="6"/>
  <c r="AN152" i="6"/>
  <c r="AX152" i="6" s="1"/>
  <c r="AS153" i="6"/>
  <c r="K154" i="6"/>
  <c r="AA166" i="6"/>
  <c r="BZ177" i="6"/>
  <c r="BS25" i="6"/>
  <c r="CB115" i="6"/>
  <c r="CB123" i="6" s="1"/>
  <c r="AN177" i="6"/>
  <c r="AS121" i="6"/>
  <c r="BW12" i="6"/>
  <c r="U13" i="6"/>
  <c r="M25" i="6"/>
  <c r="AR39" i="6"/>
  <c r="AS55" i="6"/>
  <c r="AS59" i="6"/>
  <c r="AS76" i="6"/>
  <c r="BW93" i="6"/>
  <c r="U100" i="6"/>
  <c r="CH100" i="6"/>
  <c r="AL115" i="6"/>
  <c r="AL123" i="6" s="1"/>
  <c r="AV115" i="6"/>
  <c r="AV123" i="6" s="1"/>
  <c r="BW110" i="6"/>
  <c r="M154" i="6"/>
  <c r="Q177" i="6"/>
  <c r="CH180" i="6"/>
  <c r="CB48" i="6"/>
  <c r="CF56" i="6"/>
  <c r="S105" i="6"/>
  <c r="K110" i="6"/>
  <c r="BS18" i="6"/>
  <c r="AP39" i="6"/>
  <c r="AS39" i="6" s="1"/>
  <c r="CH39" i="6"/>
  <c r="BU45" i="6"/>
  <c r="CF45" i="6" s="1"/>
  <c r="CK45" i="6" s="1"/>
  <c r="W50" i="6"/>
  <c r="AA50" i="6" s="1"/>
  <c r="CF51" i="6"/>
  <c r="AS58" i="6"/>
  <c r="AS60" i="6"/>
  <c r="AS69" i="6"/>
  <c r="M70" i="6"/>
  <c r="AS74" i="6"/>
  <c r="BI93" i="6"/>
  <c r="BM105" i="6"/>
  <c r="U110" i="6"/>
  <c r="U136" i="6"/>
  <c r="BU177" i="6"/>
  <c r="CH142" i="6"/>
  <c r="AR154" i="6"/>
  <c r="M162" i="6"/>
  <c r="BW162" i="6"/>
  <c r="AX166" i="6"/>
  <c r="BQ177" i="6"/>
  <c r="CF63" i="6"/>
  <c r="BW63" i="6"/>
  <c r="CF59" i="6"/>
  <c r="BW59" i="6"/>
  <c r="CF145" i="6"/>
  <c r="CK145" i="6" s="1"/>
  <c r="BW145" i="6"/>
  <c r="CF57" i="6"/>
  <c r="BW57" i="6"/>
  <c r="CF69" i="6"/>
  <c r="BW69" i="6"/>
  <c r="CF74" i="6"/>
  <c r="BW74" i="6"/>
  <c r="CF72" i="6"/>
  <c r="BW72" i="6"/>
  <c r="CF84" i="6"/>
  <c r="BW84" i="6"/>
  <c r="AA136" i="6"/>
  <c r="W177" i="6"/>
  <c r="CF143" i="6"/>
  <c r="CK143" i="6" s="1"/>
  <c r="BW143" i="6"/>
  <c r="CF153" i="6"/>
  <c r="CK153" i="6" s="1"/>
  <c r="BW153" i="6"/>
  <c r="CF150" i="6"/>
  <c r="CK150" i="6" s="1"/>
  <c r="BW150" i="6"/>
  <c r="BU33" i="6"/>
  <c r="BW32" i="6"/>
  <c r="CF139" i="6"/>
  <c r="CK139" i="6" s="1"/>
  <c r="BW139" i="6"/>
  <c r="CF52" i="6"/>
  <c r="BW52" i="6"/>
  <c r="CF68" i="6"/>
  <c r="BW68" i="6"/>
  <c r="CF83" i="6"/>
  <c r="BW83" i="6"/>
  <c r="CF142" i="6"/>
  <c r="CK142" i="6" s="1"/>
  <c r="BW142" i="6"/>
  <c r="CF151" i="6"/>
  <c r="CK151" i="6" s="1"/>
  <c r="BW151" i="6"/>
  <c r="BI115" i="6"/>
  <c r="BI123" i="6" s="1"/>
  <c r="M39" i="6"/>
  <c r="CB46" i="6"/>
  <c r="AR49" i="6"/>
  <c r="AN61" i="6"/>
  <c r="AX61" i="6" s="1"/>
  <c r="K78" i="6"/>
  <c r="BS100" i="6"/>
  <c r="S114" i="6"/>
  <c r="CF137" i="6"/>
  <c r="CK137" i="6" s="1"/>
  <c r="AS148" i="6"/>
  <c r="AH177" i="6"/>
  <c r="AV177" i="6"/>
  <c r="AN181" i="6"/>
  <c r="AX181" i="6" s="1"/>
  <c r="AS182" i="6"/>
  <c r="AS183" i="6"/>
  <c r="CH13" i="6"/>
  <c r="BK33" i="6"/>
  <c r="BS33" i="6" s="1"/>
  <c r="BL185" i="6"/>
  <c r="CF37" i="6"/>
  <c r="K39" i="6"/>
  <c r="BU46" i="6"/>
  <c r="BW46" i="6" s="1"/>
  <c r="AS48" i="6"/>
  <c r="AP49" i="6"/>
  <c r="AS49" i="6" s="1"/>
  <c r="G50" i="6"/>
  <c r="AS52" i="6"/>
  <c r="BW60" i="6"/>
  <c r="AA62" i="6"/>
  <c r="BW75" i="6"/>
  <c r="Y79" i="6"/>
  <c r="Y93" i="6" s="1"/>
  <c r="BQ105" i="6"/>
  <c r="I115" i="6"/>
  <c r="M115" i="6" s="1"/>
  <c r="AA135" i="6"/>
  <c r="BW136" i="6"/>
  <c r="AN149" i="6"/>
  <c r="AX149" i="6" s="1"/>
  <c r="AS151" i="6"/>
  <c r="CH151" i="6"/>
  <c r="AS173" i="6"/>
  <c r="I177" i="6"/>
  <c r="BM121" i="6"/>
  <c r="BW179" i="6"/>
  <c r="BW180" i="6"/>
  <c r="AL93" i="6"/>
  <c r="BU48" i="6"/>
  <c r="BW48" i="6" s="1"/>
  <c r="K86" i="6"/>
  <c r="W115" i="6"/>
  <c r="W123" i="6" s="1"/>
  <c r="BZ14" i="6"/>
  <c r="AL33" i="6"/>
  <c r="BG115" i="6"/>
  <c r="BG123" i="6" s="1"/>
  <c r="AP115" i="6"/>
  <c r="AS115" i="6" s="1"/>
  <c r="AS123" i="6" s="1"/>
  <c r="BO115" i="6"/>
  <c r="BO123" i="6" s="1"/>
  <c r="CH110" i="6"/>
  <c r="BM114" i="6"/>
  <c r="BS158" i="6"/>
  <c r="BS162" i="6"/>
  <c r="K174" i="6"/>
  <c r="BK177" i="6"/>
  <c r="CH182" i="6"/>
  <c r="O115" i="6"/>
  <c r="BJ185" i="6"/>
  <c r="AN144" i="6"/>
  <c r="AX144" i="6" s="1"/>
  <c r="AZ177" i="6"/>
  <c r="AZ185" i="6" s="1"/>
  <c r="BW121" i="6"/>
  <c r="CH179" i="6"/>
  <c r="AW33" i="6"/>
  <c r="CB49" i="6"/>
  <c r="AA86" i="6"/>
  <c r="K8" i="6"/>
  <c r="AS25" i="6"/>
  <c r="AS33" i="6" s="1"/>
  <c r="BF185" i="6"/>
  <c r="CB33" i="6"/>
  <c r="BM79" i="6"/>
  <c r="AS45" i="6"/>
  <c r="S49" i="6"/>
  <c r="S70" i="6"/>
  <c r="AR105" i="6"/>
  <c r="BZ114" i="6"/>
  <c r="BZ115" i="6" s="1"/>
  <c r="BZ123" i="6" s="1"/>
  <c r="BW114" i="6"/>
  <c r="AD123" i="6"/>
  <c r="S132" i="6"/>
  <c r="AR136" i="6"/>
  <c r="S136" i="6"/>
  <c r="AS137" i="6"/>
  <c r="CH150" i="6"/>
  <c r="O177" i="6"/>
  <c r="S166" i="6"/>
  <c r="BW166" i="6"/>
  <c r="CK177" i="6"/>
  <c r="AA174" i="6"/>
  <c r="AR184" i="6"/>
  <c r="AF93" i="6"/>
  <c r="AF132" i="6" s="1"/>
  <c r="CH145" i="6"/>
  <c r="G115" i="6"/>
  <c r="CH139" i="6"/>
  <c r="CB177" i="6"/>
  <c r="AN33" i="6"/>
  <c r="CH147" i="6"/>
  <c r="AN67" i="6"/>
  <c r="AX67" i="6" s="1"/>
  <c r="S13" i="6"/>
  <c r="BI14" i="6"/>
  <c r="CH18" i="6"/>
  <c r="AV33" i="6"/>
  <c r="BH185" i="6"/>
  <c r="U39" i="6"/>
  <c r="BU43" i="6"/>
  <c r="CF43" i="6" s="1"/>
  <c r="CK43" i="6" s="1"/>
  <c r="BM18" i="6"/>
  <c r="AR25" i="6"/>
  <c r="AR33" i="6" s="1"/>
  <c r="BE185" i="6"/>
  <c r="BZ33" i="6"/>
  <c r="BW38" i="6"/>
  <c r="AR50" i="6"/>
  <c r="M49" i="6"/>
  <c r="BW51" i="6"/>
  <c r="AS53" i="6"/>
  <c r="BW58" i="6"/>
  <c r="AR62" i="6"/>
  <c r="AS63" i="6"/>
  <c r="BW73" i="6"/>
  <c r="M100" i="6"/>
  <c r="BW100" i="6"/>
  <c r="U105" i="6"/>
  <c r="S110" i="6"/>
  <c r="BK115" i="6"/>
  <c r="CD115" i="6"/>
  <c r="CD123" i="6" s="1"/>
  <c r="M132" i="6"/>
  <c r="AX136" i="6"/>
  <c r="AN138" i="6"/>
  <c r="AX138" i="6" s="1"/>
  <c r="AS139" i="6"/>
  <c r="AS140" i="6"/>
  <c r="U158" i="6"/>
  <c r="BM158" i="6"/>
  <c r="U162" i="6"/>
  <c r="BM162" i="6"/>
  <c r="AR166" i="6"/>
  <c r="AF177" i="6"/>
  <c r="CH114" i="6"/>
  <c r="CF115" i="6"/>
  <c r="CF123" i="6" s="1"/>
  <c r="BW13" i="6"/>
  <c r="BU14" i="6"/>
  <c r="BW14" i="6" s="1"/>
  <c r="BW144" i="6"/>
  <c r="CF144" i="6"/>
  <c r="CK144" i="6" s="1"/>
  <c r="CF173" i="6"/>
  <c r="BW173" i="6"/>
  <c r="BW85" i="6"/>
  <c r="CF85" i="6"/>
  <c r="CF146" i="6"/>
  <c r="CK146" i="6" s="1"/>
  <c r="BW146" i="6"/>
  <c r="CH138" i="6"/>
  <c r="CF140" i="6"/>
  <c r="CK140" i="6" s="1"/>
  <c r="BW140" i="6"/>
  <c r="BW171" i="6"/>
  <c r="CF171" i="6"/>
  <c r="BW181" i="6"/>
  <c r="CF181" i="6"/>
  <c r="CK181" i="6" s="1"/>
  <c r="CF64" i="6"/>
  <c r="BW64" i="6"/>
  <c r="BW66" i="6"/>
  <c r="CF66" i="6"/>
  <c r="BW138" i="6"/>
  <c r="CF138" i="6"/>
  <c r="CK138" i="6" s="1"/>
  <c r="CH144" i="6"/>
  <c r="BW65" i="6"/>
  <c r="CF65" i="6"/>
  <c r="BW76" i="6"/>
  <c r="CF76" i="6"/>
  <c r="BW149" i="6"/>
  <c r="CF149" i="6"/>
  <c r="CK149" i="6" s="1"/>
  <c r="CF53" i="6"/>
  <c r="BW53" i="6"/>
  <c r="BW55" i="6"/>
  <c r="CF55" i="6"/>
  <c r="BW61" i="6"/>
  <c r="CF61" i="6"/>
  <c r="BW54" i="6"/>
  <c r="CF54" i="6"/>
  <c r="BW152" i="6"/>
  <c r="CF152" i="6"/>
  <c r="CK152" i="6" s="1"/>
  <c r="BW183" i="6"/>
  <c r="CF183" i="6"/>
  <c r="CK183" i="6" s="1"/>
  <c r="BI177" i="6"/>
  <c r="BD177" i="6"/>
  <c r="Q79" i="6"/>
  <c r="AN141" i="6"/>
  <c r="AX141" i="6" s="1"/>
  <c r="AR70" i="6"/>
  <c r="AN150" i="6"/>
  <c r="AX150" i="6" s="1"/>
  <c r="CF71" i="6"/>
  <c r="Y114" i="6"/>
  <c r="CH136" i="6"/>
  <c r="CF147" i="6"/>
  <c r="CK147" i="6" s="1"/>
  <c r="BM29" i="6"/>
  <c r="BW37" i="6"/>
  <c r="BS40" i="6"/>
  <c r="BS93" i="6" s="1"/>
  <c r="I50" i="6"/>
  <c r="BW56" i="6"/>
  <c r="AS57" i="6"/>
  <c r="BW67" i="6"/>
  <c r="AS68" i="6"/>
  <c r="AS72" i="6"/>
  <c r="BW77" i="6"/>
  <c r="AA78" i="6"/>
  <c r="AX86" i="6"/>
  <c r="AN115" i="6"/>
  <c r="BW141" i="6"/>
  <c r="AS142" i="6"/>
  <c r="AS167" i="6"/>
  <c r="AV121" i="6"/>
  <c r="AS179" i="6"/>
  <c r="U184" i="6"/>
  <c r="AN47" i="6"/>
  <c r="AX47" i="6" s="1"/>
  <c r="BU47" i="6" s="1"/>
  <c r="G114" i="6"/>
  <c r="W114" i="6"/>
  <c r="AP162" i="6"/>
  <c r="AS162" i="6" s="1"/>
  <c r="AL177" i="6"/>
  <c r="AN77" i="6"/>
  <c r="AX77" i="6" s="1"/>
  <c r="AN147" i="6"/>
  <c r="AX147" i="6" s="1"/>
  <c r="BW29" i="6"/>
  <c r="AR110" i="6"/>
  <c r="I114" i="6"/>
  <c r="M114" i="6" s="1"/>
  <c r="BG177" i="6"/>
  <c r="BS121" i="6"/>
  <c r="O50" i="6"/>
  <c r="BG14" i="6"/>
  <c r="BW25" i="6"/>
  <c r="M62" i="6"/>
  <c r="BD93" i="6"/>
  <c r="BD132" i="6" s="1"/>
  <c r="BQ114" i="6"/>
  <c r="S154" i="6"/>
  <c r="AN44" i="6"/>
  <c r="AX44" i="6" s="1"/>
  <c r="BU44" i="6" s="1"/>
  <c r="AN170" i="6"/>
  <c r="AX170" i="6" s="1"/>
  <c r="M78" i="6"/>
  <c r="BS166" i="6"/>
  <c r="CH188" i="4"/>
  <c r="CH187" i="4"/>
  <c r="CH186" i="4"/>
  <c r="CH185" i="4"/>
  <c r="CH129" i="4"/>
  <c r="CH128" i="4"/>
  <c r="CH127" i="4"/>
  <c r="CH126" i="4"/>
  <c r="CH125" i="4"/>
  <c r="CH124" i="4"/>
  <c r="CF39" i="4"/>
  <c r="CF185" i="6" l="1"/>
  <c r="AH185" i="6"/>
  <c r="CH14" i="6"/>
  <c r="CH73" i="6"/>
  <c r="S115" i="6"/>
  <c r="BO185" i="6"/>
  <c r="AV132" i="6"/>
  <c r="AV185" i="6" s="1"/>
  <c r="Q123" i="6"/>
  <c r="U123" i="6" s="1"/>
  <c r="BI132" i="6"/>
  <c r="BI185" i="6" s="1"/>
  <c r="BM33" i="6"/>
  <c r="AX93" i="6"/>
  <c r="AL132" i="6"/>
  <c r="AL185" i="6" s="1"/>
  <c r="AN49" i="6"/>
  <c r="AX49" i="6" s="1"/>
  <c r="BU49" i="6" s="1"/>
  <c r="CF49" i="6" s="1"/>
  <c r="CD185" i="6"/>
  <c r="CH93" i="6"/>
  <c r="CH83" i="6"/>
  <c r="CK83" i="6"/>
  <c r="BM93" i="6"/>
  <c r="BG132" i="6"/>
  <c r="BG185" i="6" s="1"/>
  <c r="CH77" i="6"/>
  <c r="CH173" i="6"/>
  <c r="CK173" i="6"/>
  <c r="CH85" i="6"/>
  <c r="CK85" i="6"/>
  <c r="CH171" i="6"/>
  <c r="CK171" i="6"/>
  <c r="CK115" i="6"/>
  <c r="CH84" i="6"/>
  <c r="CK84" i="6"/>
  <c r="CH172" i="6"/>
  <c r="CK172" i="6"/>
  <c r="AP123" i="6"/>
  <c r="BM115" i="6"/>
  <c r="BM123" i="6" s="1"/>
  <c r="BW45" i="6"/>
  <c r="S177" i="6"/>
  <c r="Y132" i="6"/>
  <c r="AR132" i="6" s="1"/>
  <c r="AD132" i="6"/>
  <c r="AD185" i="6" s="1"/>
  <c r="CH37" i="6"/>
  <c r="CK37" i="6"/>
  <c r="CH38" i="6"/>
  <c r="CK38" i="6"/>
  <c r="CH76" i="6"/>
  <c r="CK76" i="6"/>
  <c r="CH72" i="6"/>
  <c r="CK72" i="6"/>
  <c r="CH53" i="6"/>
  <c r="CK53" i="6"/>
  <c r="CH69" i="6"/>
  <c r="CK69" i="6"/>
  <c r="CH63" i="6"/>
  <c r="CK63" i="6"/>
  <c r="CH75" i="6"/>
  <c r="CK75" i="6"/>
  <c r="CH61" i="6"/>
  <c r="CK61" i="6"/>
  <c r="CH60" i="6"/>
  <c r="CK60" i="6"/>
  <c r="CH58" i="6"/>
  <c r="CK58" i="6"/>
  <c r="CH54" i="6"/>
  <c r="CK54" i="6"/>
  <c r="CH67" i="6"/>
  <c r="CK67" i="6"/>
  <c r="CH66" i="6"/>
  <c r="CK66" i="6"/>
  <c r="CH52" i="6"/>
  <c r="CK52" i="6"/>
  <c r="CH68" i="6"/>
  <c r="CK68" i="6"/>
  <c r="CH57" i="6"/>
  <c r="CK57" i="6"/>
  <c r="CH51" i="6"/>
  <c r="CK51" i="6"/>
  <c r="CH56" i="6"/>
  <c r="CK56" i="6"/>
  <c r="CH55" i="6"/>
  <c r="CK55" i="6"/>
  <c r="CH71" i="6"/>
  <c r="CK71" i="6"/>
  <c r="CH65" i="6"/>
  <c r="CK65" i="6"/>
  <c r="CH74" i="6"/>
  <c r="CK74" i="6"/>
  <c r="CH59" i="6"/>
  <c r="CK59" i="6"/>
  <c r="CH64" i="6"/>
  <c r="CK64" i="6"/>
  <c r="BW43" i="6"/>
  <c r="U177" i="6"/>
  <c r="M177" i="6"/>
  <c r="BS177" i="6"/>
  <c r="CB185" i="6"/>
  <c r="AA115" i="6"/>
  <c r="CF46" i="6"/>
  <c r="BZ185" i="6"/>
  <c r="K50" i="6"/>
  <c r="G79" i="6"/>
  <c r="G93" i="6" s="1"/>
  <c r="W79" i="6"/>
  <c r="AA79" i="6" s="1"/>
  <c r="AA177" i="6"/>
  <c r="CF48" i="6"/>
  <c r="BD185" i="6"/>
  <c r="CH43" i="6"/>
  <c r="BW177" i="6"/>
  <c r="CH45" i="6"/>
  <c r="BK123" i="6"/>
  <c r="BW123" i="6" s="1"/>
  <c r="AR177" i="6"/>
  <c r="BW115" i="6"/>
  <c r="I123" i="6"/>
  <c r="M123" i="6" s="1"/>
  <c r="CH123" i="6"/>
  <c r="K115" i="6"/>
  <c r="AP93" i="6"/>
  <c r="BW33" i="6"/>
  <c r="AR115" i="6"/>
  <c r="AR123" i="6" s="1"/>
  <c r="AX177" i="6"/>
  <c r="CH177" i="6"/>
  <c r="AF185" i="6"/>
  <c r="O123" i="6"/>
  <c r="AR79" i="6"/>
  <c r="AR93" i="6" s="1"/>
  <c r="BM177" i="6"/>
  <c r="BU185" i="6"/>
  <c r="G123" i="6"/>
  <c r="K177" i="6"/>
  <c r="CH33" i="6"/>
  <c r="CH115" i="6"/>
  <c r="CF44" i="6"/>
  <c r="BW44" i="6"/>
  <c r="AA123" i="6"/>
  <c r="M50" i="6"/>
  <c r="I79" i="6"/>
  <c r="S50" i="6"/>
  <c r="O79" i="6"/>
  <c r="U79" i="6" s="1"/>
  <c r="U50" i="6"/>
  <c r="CF47" i="6"/>
  <c r="BW47" i="6"/>
  <c r="AN123" i="6"/>
  <c r="AN132" i="6" s="1"/>
  <c r="AX115" i="6"/>
  <c r="AX123" i="6" s="1"/>
  <c r="BS114" i="6"/>
  <c r="BQ115" i="6"/>
  <c r="K114" i="6"/>
  <c r="AA114" i="6"/>
  <c r="Q93" i="6"/>
  <c r="AP177" i="6"/>
  <c r="AS177" i="6" s="1"/>
  <c r="CD12" i="4"/>
  <c r="CD11" i="4"/>
  <c r="CD10" i="4"/>
  <c r="CH91" i="4"/>
  <c r="CH90" i="4"/>
  <c r="CH89" i="4"/>
  <c r="CH88" i="4"/>
  <c r="CH87" i="4"/>
  <c r="CH86" i="4"/>
  <c r="CH82" i="4"/>
  <c r="CH81" i="4"/>
  <c r="CH80" i="4"/>
  <c r="CH79" i="4"/>
  <c r="CH78" i="4"/>
  <c r="CH70" i="4"/>
  <c r="CH62" i="4"/>
  <c r="CH50" i="4"/>
  <c r="CH42" i="4"/>
  <c r="CH41" i="4"/>
  <c r="CH40" i="4"/>
  <c r="CH36" i="4"/>
  <c r="CH35" i="4"/>
  <c r="CH32" i="4"/>
  <c r="CH31" i="4"/>
  <c r="CH30" i="4"/>
  <c r="CH28" i="4"/>
  <c r="CH27" i="4"/>
  <c r="CH26" i="4"/>
  <c r="CH24" i="4"/>
  <c r="CH23" i="4"/>
  <c r="CH22" i="4"/>
  <c r="CH21" i="4"/>
  <c r="CH20" i="4"/>
  <c r="CH17" i="4"/>
  <c r="CH16" i="4"/>
  <c r="CH12" i="4"/>
  <c r="CH11" i="4"/>
  <c r="CH10" i="4"/>
  <c r="CH9" i="4"/>
  <c r="CH8" i="4"/>
  <c r="CH3" i="4"/>
  <c r="BW49" i="6" l="1"/>
  <c r="AX132" i="6"/>
  <c r="Y185" i="6"/>
  <c r="S123" i="6"/>
  <c r="BK132" i="6"/>
  <c r="BK185" i="6" s="1"/>
  <c r="BW132" i="6"/>
  <c r="BW185" i="6" s="1"/>
  <c r="BM132" i="6"/>
  <c r="BM185" i="6" s="1"/>
  <c r="AN185" i="6"/>
  <c r="AX185" i="6" s="1"/>
  <c r="AS93" i="6"/>
  <c r="AP132" i="6"/>
  <c r="AS132" i="6" s="1"/>
  <c r="CK123" i="6"/>
  <c r="CH185" i="6"/>
  <c r="CH44" i="6"/>
  <c r="CK44" i="6"/>
  <c r="CH49" i="6"/>
  <c r="CK49" i="6"/>
  <c r="CH46" i="6"/>
  <c r="CK46" i="6"/>
  <c r="CH48" i="6"/>
  <c r="CK48" i="6"/>
  <c r="CH47" i="6"/>
  <c r="CK47" i="6"/>
  <c r="W93" i="6"/>
  <c r="K79" i="6"/>
  <c r="K123" i="6"/>
  <c r="AR185" i="6"/>
  <c r="S79" i="6"/>
  <c r="O93" i="6"/>
  <c r="S93" i="6" s="1"/>
  <c r="BS115" i="6"/>
  <c r="BS123" i="6" s="1"/>
  <c r="BQ123" i="6"/>
  <c r="M79" i="6"/>
  <c r="I93" i="6"/>
  <c r="M93" i="6" s="1"/>
  <c r="CH121" i="4"/>
  <c r="CH118" i="4"/>
  <c r="CH117" i="4"/>
  <c r="CH116" i="4"/>
  <c r="CH115" i="4"/>
  <c r="CH114" i="4"/>
  <c r="CH112" i="4"/>
  <c r="CH111" i="4"/>
  <c r="CH110" i="4"/>
  <c r="CH109" i="4"/>
  <c r="CH108" i="4"/>
  <c r="CH107" i="4"/>
  <c r="CH105" i="4"/>
  <c r="CH104" i="4"/>
  <c r="CH103" i="4"/>
  <c r="CH102" i="4"/>
  <c r="CH101" i="4"/>
  <c r="CH98" i="4"/>
  <c r="CH97" i="4"/>
  <c r="CH96" i="4"/>
  <c r="CH95" i="4"/>
  <c r="CH175" i="4"/>
  <c r="CH182" i="4"/>
  <c r="CH181" i="4"/>
  <c r="CH180" i="4"/>
  <c r="CH179" i="4"/>
  <c r="CH178" i="4"/>
  <c r="CH177" i="4"/>
  <c r="CH174" i="4"/>
  <c r="CH173" i="4"/>
  <c r="CH169" i="4"/>
  <c r="CH168" i="4"/>
  <c r="CH167" i="4"/>
  <c r="CH166" i="4"/>
  <c r="CH164" i="4"/>
  <c r="CH163" i="4"/>
  <c r="CH160" i="4"/>
  <c r="CH159" i="4"/>
  <c r="CH155" i="4"/>
  <c r="CH153" i="4"/>
  <c r="CH134" i="4"/>
  <c r="CH133" i="4"/>
  <c r="CK185" i="6" l="1"/>
  <c r="AA93" i="6"/>
  <c r="W132" i="6"/>
  <c r="AA132" i="6" s="1"/>
  <c r="AP185" i="6"/>
  <c r="AS185" i="6" s="1"/>
  <c r="BQ132" i="6"/>
  <c r="BS132" i="6" s="1"/>
  <c r="U93" i="6"/>
  <c r="K93" i="6"/>
  <c r="CF189" i="4"/>
  <c r="CF183" i="4"/>
  <c r="CF165" i="4"/>
  <c r="CF161" i="4"/>
  <c r="CF157" i="4"/>
  <c r="CF135" i="4"/>
  <c r="CF130" i="4"/>
  <c r="CF119" i="4"/>
  <c r="CF113" i="4"/>
  <c r="CF106" i="4"/>
  <c r="CF99" i="4"/>
  <c r="CF92" i="4"/>
  <c r="CF29" i="4"/>
  <c r="CF18" i="4"/>
  <c r="CF13" i="4"/>
  <c r="CF14" i="4" s="1"/>
  <c r="CD24" i="4"/>
  <c r="CD23" i="4"/>
  <c r="CD22" i="4"/>
  <c r="W185" i="6" l="1"/>
  <c r="BQ185" i="6"/>
  <c r="BS185" i="6" s="1"/>
  <c r="CF33" i="4"/>
  <c r="CF120" i="4"/>
  <c r="CF176" i="4"/>
  <c r="BZ189" i="4"/>
  <c r="BZ25" i="4"/>
  <c r="CD18" i="4"/>
  <c r="BZ18" i="4"/>
  <c r="CF122" i="4" l="1"/>
  <c r="CF197" i="4" s="1"/>
  <c r="CD135" i="4"/>
  <c r="CD195" i="4"/>
  <c r="CD194" i="4"/>
  <c r="CD193" i="4"/>
  <c r="CD192" i="4"/>
  <c r="CD191" i="4"/>
  <c r="CD189" i="4"/>
  <c r="CD183" i="4"/>
  <c r="CD165" i="4"/>
  <c r="CD161" i="4"/>
  <c r="CD157" i="4"/>
  <c r="CD152" i="4"/>
  <c r="CD151" i="4"/>
  <c r="CD150" i="4"/>
  <c r="CD149" i="4"/>
  <c r="CD148" i="4"/>
  <c r="CD147" i="4"/>
  <c r="CD146" i="4"/>
  <c r="CD145" i="4"/>
  <c r="CD144" i="4"/>
  <c r="CD143" i="4"/>
  <c r="CD142" i="4"/>
  <c r="CD141" i="4"/>
  <c r="CD140" i="4"/>
  <c r="CD139" i="4"/>
  <c r="CD138" i="4"/>
  <c r="CD137" i="4"/>
  <c r="CD136" i="4"/>
  <c r="CD130" i="4"/>
  <c r="CD119" i="4"/>
  <c r="CD113" i="4"/>
  <c r="CD106" i="4"/>
  <c r="CD99" i="4"/>
  <c r="CD85" i="4"/>
  <c r="CD84" i="4"/>
  <c r="CD83" i="4"/>
  <c r="CD77" i="4"/>
  <c r="CD76" i="4"/>
  <c r="CD75" i="4"/>
  <c r="CD74" i="4"/>
  <c r="CD73" i="4"/>
  <c r="CD72" i="4"/>
  <c r="CD71" i="4"/>
  <c r="CD69" i="4"/>
  <c r="CD68" i="4"/>
  <c r="CD67" i="4"/>
  <c r="CD66" i="4"/>
  <c r="CD65" i="4"/>
  <c r="CD64" i="4"/>
  <c r="CD63" i="4"/>
  <c r="CD61" i="4"/>
  <c r="CD60" i="4"/>
  <c r="CD59" i="4"/>
  <c r="CD58" i="4"/>
  <c r="CD57" i="4"/>
  <c r="CD56" i="4"/>
  <c r="CD55" i="4"/>
  <c r="CD54" i="4"/>
  <c r="CD53" i="4"/>
  <c r="CD52" i="4"/>
  <c r="CD51" i="4"/>
  <c r="CD49" i="4"/>
  <c r="CD48" i="4"/>
  <c r="CD47" i="4"/>
  <c r="CD46" i="4"/>
  <c r="CD45" i="4"/>
  <c r="CD44" i="4"/>
  <c r="CD43" i="4"/>
  <c r="CD39" i="4"/>
  <c r="CD92" i="4" s="1"/>
  <c r="CD38" i="4"/>
  <c r="CD37" i="4"/>
  <c r="CD29" i="4"/>
  <c r="CD33" i="4" s="1"/>
  <c r="CD14" i="4"/>
  <c r="CD176" i="4" l="1"/>
  <c r="CD120" i="4"/>
  <c r="CD122" i="4" s="1"/>
  <c r="CD197" i="4" l="1"/>
  <c r="CB196" i="4"/>
  <c r="CH196" i="4" s="1"/>
  <c r="CB13" i="4"/>
  <c r="CH13" i="4" s="1"/>
  <c r="CB156" i="4"/>
  <c r="CH156" i="4" s="1"/>
  <c r="CB130" i="4"/>
  <c r="CH130" i="4" s="1"/>
  <c r="CB39" i="4"/>
  <c r="CH39" i="4" s="1"/>
  <c r="CB189" i="4"/>
  <c r="CH189" i="4" s="1"/>
  <c r="CB183" i="4"/>
  <c r="CH183" i="4" s="1"/>
  <c r="CB165" i="4"/>
  <c r="CB161" i="4"/>
  <c r="CB135" i="4"/>
  <c r="CB119" i="4"/>
  <c r="CH119" i="4" s="1"/>
  <c r="CB113" i="4"/>
  <c r="CH113" i="4" s="1"/>
  <c r="CB106" i="4"/>
  <c r="CH106" i="4" s="1"/>
  <c r="CB99" i="4"/>
  <c r="CB29" i="4"/>
  <c r="CH29" i="4" s="1"/>
  <c r="CB25" i="4"/>
  <c r="CB18" i="4"/>
  <c r="CH18" i="4" s="1"/>
  <c r="BZ81" i="4"/>
  <c r="BZ5" i="4"/>
  <c r="BZ6" i="4"/>
  <c r="BZ7" i="4"/>
  <c r="BZ10" i="4"/>
  <c r="BZ11" i="4"/>
  <c r="BZ12" i="4"/>
  <c r="BQ196" i="4"/>
  <c r="BK183" i="4"/>
  <c r="BK99" i="4"/>
  <c r="BK106" i="4"/>
  <c r="BK113" i="4"/>
  <c r="BK119" i="4"/>
  <c r="BL119" i="4"/>
  <c r="BL122" i="4"/>
  <c r="BQ99" i="4"/>
  <c r="BQ101" i="4"/>
  <c r="BQ106" i="4" s="1"/>
  <c r="BQ104" i="4"/>
  <c r="BQ105" i="4"/>
  <c r="BQ113" i="4"/>
  <c r="BQ116" i="4"/>
  <c r="BQ117" i="4"/>
  <c r="BQ118" i="4"/>
  <c r="BQ178" i="4"/>
  <c r="BQ183" i="4" s="1"/>
  <c r="AV183" i="4"/>
  <c r="BG183" i="4"/>
  <c r="BQ165" i="4"/>
  <c r="BQ161" i="4"/>
  <c r="BQ157" i="4"/>
  <c r="BQ135" i="4"/>
  <c r="BQ130" i="4"/>
  <c r="BQ23" i="4"/>
  <c r="BQ25" i="4" s="1"/>
  <c r="BQ14" i="4"/>
  <c r="BQ6" i="4"/>
  <c r="BQ7" i="4"/>
  <c r="BQ10" i="4"/>
  <c r="BQ11" i="4"/>
  <c r="BQ18" i="4"/>
  <c r="BQ29" i="4"/>
  <c r="BQ33" i="4"/>
  <c r="BQ37" i="4"/>
  <c r="BQ38" i="4"/>
  <c r="BQ40" i="4"/>
  <c r="BQ42" i="4"/>
  <c r="BQ43" i="4"/>
  <c r="BQ44" i="4"/>
  <c r="BQ45" i="4"/>
  <c r="BQ46" i="4"/>
  <c r="BQ47" i="4"/>
  <c r="BQ48" i="4"/>
  <c r="BQ49" i="4"/>
  <c r="BQ50" i="4"/>
  <c r="BQ51" i="4"/>
  <c r="BQ52" i="4"/>
  <c r="BQ53" i="4"/>
  <c r="BQ54" i="4"/>
  <c r="BQ55" i="4"/>
  <c r="BQ56" i="4"/>
  <c r="BQ57" i="4"/>
  <c r="BQ58" i="4"/>
  <c r="BQ59" i="4"/>
  <c r="BQ60" i="4"/>
  <c r="BQ61" i="4"/>
  <c r="BQ62" i="4"/>
  <c r="BQ63" i="4"/>
  <c r="BQ64" i="4"/>
  <c r="BQ65" i="4"/>
  <c r="BQ66" i="4"/>
  <c r="BQ67" i="4"/>
  <c r="BQ68" i="4"/>
  <c r="BQ69" i="4"/>
  <c r="BQ70" i="4"/>
  <c r="BQ71" i="4"/>
  <c r="BQ72" i="4"/>
  <c r="BQ73" i="4"/>
  <c r="BQ74" i="4"/>
  <c r="BQ75" i="4"/>
  <c r="BQ76" i="4"/>
  <c r="BQ77" i="4"/>
  <c r="BQ78" i="4"/>
  <c r="BQ83" i="4"/>
  <c r="BQ84" i="4"/>
  <c r="BQ85" i="4"/>
  <c r="BQ89" i="4"/>
  <c r="BQ136" i="4"/>
  <c r="BQ137" i="4"/>
  <c r="BQ138" i="4"/>
  <c r="BQ139" i="4"/>
  <c r="BQ140" i="4"/>
  <c r="BQ141" i="4"/>
  <c r="BQ142" i="4"/>
  <c r="BQ143" i="4"/>
  <c r="BQ144" i="4"/>
  <c r="BQ145" i="4"/>
  <c r="BQ146" i="4"/>
  <c r="BQ147" i="4"/>
  <c r="BQ148" i="4"/>
  <c r="BQ149" i="4"/>
  <c r="BQ150" i="4"/>
  <c r="BQ151" i="4"/>
  <c r="BZ195" i="4"/>
  <c r="BZ194" i="4"/>
  <c r="BZ193" i="4"/>
  <c r="BZ192" i="4"/>
  <c r="BZ191" i="4"/>
  <c r="BZ181" i="4"/>
  <c r="BZ180" i="4"/>
  <c r="BZ179" i="4"/>
  <c r="BZ172" i="4"/>
  <c r="BZ171" i="4"/>
  <c r="BZ170" i="4"/>
  <c r="BZ169" i="4"/>
  <c r="BZ168" i="4"/>
  <c r="BZ167" i="4"/>
  <c r="BZ152" i="4"/>
  <c r="BZ151" i="4"/>
  <c r="BZ150" i="4"/>
  <c r="BZ149" i="4"/>
  <c r="BZ148" i="4"/>
  <c r="BZ147" i="4"/>
  <c r="BZ146" i="4"/>
  <c r="BZ145" i="4"/>
  <c r="BZ144" i="4"/>
  <c r="BZ143" i="4"/>
  <c r="BZ142" i="4"/>
  <c r="BZ141" i="4"/>
  <c r="BZ140" i="4"/>
  <c r="BZ139" i="4"/>
  <c r="BZ138" i="4"/>
  <c r="BZ137" i="4"/>
  <c r="BZ136" i="4"/>
  <c r="BZ118" i="4"/>
  <c r="BZ117" i="4"/>
  <c r="BZ116" i="4"/>
  <c r="BZ105" i="4"/>
  <c r="BZ89" i="4"/>
  <c r="BZ85" i="4"/>
  <c r="BZ84" i="4"/>
  <c r="BZ83" i="4"/>
  <c r="BZ78" i="4"/>
  <c r="BZ77" i="4"/>
  <c r="BZ76" i="4"/>
  <c r="BZ75" i="4"/>
  <c r="BZ74" i="4"/>
  <c r="BZ73" i="4"/>
  <c r="BZ72" i="4"/>
  <c r="BZ71" i="4"/>
  <c r="BZ70" i="4"/>
  <c r="BZ69" i="4"/>
  <c r="BZ68" i="4"/>
  <c r="BZ67" i="4"/>
  <c r="BZ66" i="4"/>
  <c r="BZ65" i="4"/>
  <c r="BZ64" i="4"/>
  <c r="BZ63" i="4"/>
  <c r="BZ62" i="4"/>
  <c r="BZ61" i="4"/>
  <c r="BZ60" i="4"/>
  <c r="BZ59" i="4"/>
  <c r="BZ58" i="4"/>
  <c r="BZ57" i="4"/>
  <c r="BZ56" i="4"/>
  <c r="BZ55" i="4"/>
  <c r="BZ54" i="4"/>
  <c r="BZ53" i="4"/>
  <c r="BZ52" i="4"/>
  <c r="BZ51" i="4"/>
  <c r="BZ50" i="4"/>
  <c r="BZ49" i="4"/>
  <c r="BZ48" i="4"/>
  <c r="BZ47" i="4"/>
  <c r="BZ46" i="4"/>
  <c r="BZ45" i="4"/>
  <c r="BZ44" i="4"/>
  <c r="BZ43" i="4"/>
  <c r="BZ42" i="4"/>
  <c r="BZ38" i="4"/>
  <c r="BZ37" i="4"/>
  <c r="BU196" i="4"/>
  <c r="BU99" i="4"/>
  <c r="CH99" i="4" s="1"/>
  <c r="CB33" i="4" l="1"/>
  <c r="CH33" i="4" s="1"/>
  <c r="CH25" i="4"/>
  <c r="BZ119" i="4"/>
  <c r="CB157" i="4"/>
  <c r="CB176" i="4" s="1"/>
  <c r="CH176" i="4" s="1"/>
  <c r="BZ106" i="4"/>
  <c r="BQ176" i="4"/>
  <c r="BZ29" i="4"/>
  <c r="BZ33" i="4" s="1"/>
  <c r="BZ157" i="4"/>
  <c r="BZ183" i="4"/>
  <c r="CB120" i="4"/>
  <c r="CH120" i="4" s="1"/>
  <c r="BZ113" i="4"/>
  <c r="CB92" i="4"/>
  <c r="CH92" i="4" s="1"/>
  <c r="BZ14" i="4"/>
  <c r="BZ135" i="4"/>
  <c r="BZ165" i="4"/>
  <c r="BZ130" i="4"/>
  <c r="BZ161" i="4"/>
  <c r="BZ99" i="4"/>
  <c r="BQ119" i="4"/>
  <c r="BQ120" i="4" s="1"/>
  <c r="BQ122" i="4" s="1"/>
  <c r="BZ92" i="4"/>
  <c r="BK120" i="4"/>
  <c r="BK122" i="4" s="1"/>
  <c r="BW190" i="4"/>
  <c r="BW188" i="4"/>
  <c r="BW187" i="4"/>
  <c r="BW186" i="4"/>
  <c r="BW185" i="4"/>
  <c r="BW184" i="4"/>
  <c r="BW182" i="4"/>
  <c r="BW181" i="4"/>
  <c r="BW180" i="4"/>
  <c r="BW179" i="4"/>
  <c r="BW178" i="4"/>
  <c r="BW177" i="4"/>
  <c r="BW175" i="4"/>
  <c r="BW174" i="4"/>
  <c r="BW173" i="4"/>
  <c r="BW167" i="4"/>
  <c r="BW166" i="4"/>
  <c r="BW164" i="4"/>
  <c r="BW163" i="4"/>
  <c r="BW162" i="4"/>
  <c r="BW160" i="4"/>
  <c r="BW159" i="4"/>
  <c r="BW158" i="4"/>
  <c r="BW156" i="4"/>
  <c r="BW155" i="4"/>
  <c r="BW154" i="4"/>
  <c r="BW153" i="4"/>
  <c r="BW134" i="4"/>
  <c r="BW133" i="4"/>
  <c r="BW129" i="4"/>
  <c r="BW128" i="4"/>
  <c r="BW127" i="4"/>
  <c r="BW126" i="4"/>
  <c r="BW125" i="4"/>
  <c r="BW124" i="4"/>
  <c r="BW123" i="4"/>
  <c r="BW121" i="4"/>
  <c r="BW118" i="4"/>
  <c r="BW117" i="4"/>
  <c r="BW116" i="4"/>
  <c r="BW115" i="4"/>
  <c r="BW112" i="4"/>
  <c r="BW111" i="4"/>
  <c r="BW110" i="4"/>
  <c r="BW109" i="4"/>
  <c r="BW108" i="4"/>
  <c r="BW107" i="4"/>
  <c r="BW105" i="4"/>
  <c r="BW104" i="4"/>
  <c r="BW103" i="4"/>
  <c r="BW102" i="4"/>
  <c r="BW101" i="4"/>
  <c r="BW100" i="4"/>
  <c r="BW98" i="4"/>
  <c r="BW97" i="4"/>
  <c r="BW96" i="4"/>
  <c r="BW95" i="4"/>
  <c r="BW91" i="4"/>
  <c r="BW90" i="4"/>
  <c r="BW89" i="4"/>
  <c r="BW88" i="4"/>
  <c r="BW87" i="4"/>
  <c r="BW86" i="4"/>
  <c r="BW82" i="4"/>
  <c r="BW81" i="4"/>
  <c r="BW80" i="4"/>
  <c r="BW78" i="4"/>
  <c r="BW70" i="4"/>
  <c r="BW62" i="4"/>
  <c r="BW50" i="4"/>
  <c r="BW42" i="4"/>
  <c r="BW41" i="4"/>
  <c r="BW40" i="4"/>
  <c r="BW36" i="4"/>
  <c r="BW35" i="4"/>
  <c r="BW34" i="4"/>
  <c r="BW31" i="4"/>
  <c r="BW30" i="4"/>
  <c r="BW28" i="4"/>
  <c r="BW27" i="4"/>
  <c r="BW24" i="4"/>
  <c r="BW23" i="4"/>
  <c r="BW22" i="4"/>
  <c r="BW20" i="4"/>
  <c r="BW16" i="4"/>
  <c r="BW11" i="4"/>
  <c r="BW10" i="4"/>
  <c r="BW7" i="4"/>
  <c r="BW6" i="4"/>
  <c r="BW5" i="4"/>
  <c r="BW3" i="4"/>
  <c r="BO25" i="4"/>
  <c r="BZ120" i="4" l="1"/>
  <c r="BZ122" i="4" s="1"/>
  <c r="BZ176" i="4"/>
  <c r="CB122" i="4"/>
  <c r="CH122" i="4" s="1"/>
  <c r="BW196" i="4"/>
  <c r="BU12" i="4"/>
  <c r="BW12" i="4" l="1"/>
  <c r="BZ197" i="4"/>
  <c r="BO12" i="4"/>
  <c r="BS50" i="4"/>
  <c r="BS36" i="4"/>
  <c r="BS31" i="4"/>
  <c r="BS30" i="4"/>
  <c r="BQ195" i="4"/>
  <c r="BS195" i="4" s="1"/>
  <c r="CB195" i="4" s="1"/>
  <c r="BQ194" i="4"/>
  <c r="BS194" i="4" s="1"/>
  <c r="CB194" i="4" s="1"/>
  <c r="BQ193" i="4"/>
  <c r="BS193" i="4" s="1"/>
  <c r="CB193" i="4" s="1"/>
  <c r="BQ192" i="4"/>
  <c r="BS192" i="4" s="1"/>
  <c r="CB192" i="4" s="1"/>
  <c r="BQ191" i="4"/>
  <c r="BS191" i="4" s="1"/>
  <c r="CB191" i="4" s="1"/>
  <c r="BS190" i="4"/>
  <c r="BS188" i="4"/>
  <c r="BS186" i="4"/>
  <c r="BS185" i="4"/>
  <c r="BS182" i="4"/>
  <c r="BQ181" i="4"/>
  <c r="BS181" i="4" s="1"/>
  <c r="BQ180" i="4"/>
  <c r="BS180" i="4" s="1"/>
  <c r="BS179" i="4"/>
  <c r="BS178" i="4"/>
  <c r="BS175" i="4"/>
  <c r="BS174" i="4"/>
  <c r="BS173" i="4"/>
  <c r="BQ172" i="4"/>
  <c r="BS172" i="4" s="1"/>
  <c r="CB172" i="4" s="1"/>
  <c r="BQ171" i="4"/>
  <c r="BS171" i="4" s="1"/>
  <c r="CB171" i="4" s="1"/>
  <c r="BQ170" i="4"/>
  <c r="BS170" i="4" s="1"/>
  <c r="CB170" i="4" s="1"/>
  <c r="BQ169" i="4"/>
  <c r="BS169" i="4" s="1"/>
  <c r="BQ168" i="4"/>
  <c r="BS168" i="4" s="1"/>
  <c r="BQ167" i="4"/>
  <c r="BS167" i="4" s="1"/>
  <c r="BS166" i="4"/>
  <c r="BS164" i="4"/>
  <c r="BS163" i="4"/>
  <c r="BS160" i="4"/>
  <c r="BS159" i="4"/>
  <c r="BS156" i="4"/>
  <c r="BS155" i="4"/>
  <c r="BS153" i="4"/>
  <c r="BQ152" i="4"/>
  <c r="BS152" i="4" s="1"/>
  <c r="CB152" i="4" s="1"/>
  <c r="BS151" i="4"/>
  <c r="CB151" i="4" s="1"/>
  <c r="BS150" i="4"/>
  <c r="CB150" i="4" s="1"/>
  <c r="BS149" i="4"/>
  <c r="CB149" i="4" s="1"/>
  <c r="BS148" i="4"/>
  <c r="CB148" i="4" s="1"/>
  <c r="BS147" i="4"/>
  <c r="CB147" i="4" s="1"/>
  <c r="BS146" i="4"/>
  <c r="CB146" i="4" s="1"/>
  <c r="BS145" i="4"/>
  <c r="CB145" i="4" s="1"/>
  <c r="BS144" i="4"/>
  <c r="CB144" i="4" s="1"/>
  <c r="BS143" i="4"/>
  <c r="CB143" i="4" s="1"/>
  <c r="BS142" i="4"/>
  <c r="CB142" i="4" s="1"/>
  <c r="BS141" i="4"/>
  <c r="CB141" i="4" s="1"/>
  <c r="BS140" i="4"/>
  <c r="CB140" i="4" s="1"/>
  <c r="BS139" i="4"/>
  <c r="CB139" i="4" s="1"/>
  <c r="BS138" i="4"/>
  <c r="CB138" i="4" s="1"/>
  <c r="BS137" i="4"/>
  <c r="CB137" i="4" s="1"/>
  <c r="BS136" i="4"/>
  <c r="CB136" i="4" s="1"/>
  <c r="BS134" i="4"/>
  <c r="BS133" i="4"/>
  <c r="BS129" i="4"/>
  <c r="BS128" i="4"/>
  <c r="BS127" i="4"/>
  <c r="BS126" i="4"/>
  <c r="BS125" i="4"/>
  <c r="BS124" i="4"/>
  <c r="BS121" i="4"/>
  <c r="BS187" i="4"/>
  <c r="BS118" i="4"/>
  <c r="BS117" i="4"/>
  <c r="BS116" i="4"/>
  <c r="BS115" i="4"/>
  <c r="BS112" i="4"/>
  <c r="BS111" i="4"/>
  <c r="BS110" i="4"/>
  <c r="BS109" i="4"/>
  <c r="BS108" i="4"/>
  <c r="BS105" i="4"/>
  <c r="BS104" i="4"/>
  <c r="BS103" i="4"/>
  <c r="BS102" i="4"/>
  <c r="BS101" i="4"/>
  <c r="BS98" i="4"/>
  <c r="BS97" i="4"/>
  <c r="BS96" i="4"/>
  <c r="BS95" i="4"/>
  <c r="BS91" i="4"/>
  <c r="BS90" i="4"/>
  <c r="BS89" i="4"/>
  <c r="BS88" i="4"/>
  <c r="BS87" i="4"/>
  <c r="BS86" i="4"/>
  <c r="BS85" i="4"/>
  <c r="CB85" i="4" s="1"/>
  <c r="BS84" i="4"/>
  <c r="CB84" i="4" s="1"/>
  <c r="BS83" i="4"/>
  <c r="CB83" i="4" s="1"/>
  <c r="BS82" i="4"/>
  <c r="BS81" i="4"/>
  <c r="BS80" i="4"/>
  <c r="BS78" i="4"/>
  <c r="BS77" i="4"/>
  <c r="CB77" i="4" s="1"/>
  <c r="BS76" i="4"/>
  <c r="CB76" i="4" s="1"/>
  <c r="BS75" i="4"/>
  <c r="CB75" i="4" s="1"/>
  <c r="BS74" i="4"/>
  <c r="CB74" i="4" s="1"/>
  <c r="BS73" i="4"/>
  <c r="CB73" i="4" s="1"/>
  <c r="BS72" i="4"/>
  <c r="CB72" i="4" s="1"/>
  <c r="BS71" i="4"/>
  <c r="CB71" i="4" s="1"/>
  <c r="BS70" i="4"/>
  <c r="BS69" i="4"/>
  <c r="CB69" i="4" s="1"/>
  <c r="BS68" i="4"/>
  <c r="CB68" i="4" s="1"/>
  <c r="BS67" i="4"/>
  <c r="CB67" i="4" s="1"/>
  <c r="BS66" i="4"/>
  <c r="CB66" i="4" s="1"/>
  <c r="BS65" i="4"/>
  <c r="CB65" i="4" s="1"/>
  <c r="BS64" i="4"/>
  <c r="CB64" i="4" s="1"/>
  <c r="BS63" i="4"/>
  <c r="CB63" i="4" s="1"/>
  <c r="BS62" i="4"/>
  <c r="BS61" i="4"/>
  <c r="CB61" i="4" s="1"/>
  <c r="BS60" i="4"/>
  <c r="CB60" i="4" s="1"/>
  <c r="BS59" i="4"/>
  <c r="CB59" i="4" s="1"/>
  <c r="BS58" i="4"/>
  <c r="CB58" i="4" s="1"/>
  <c r="BS57" i="4"/>
  <c r="CB57" i="4" s="1"/>
  <c r="BS56" i="4"/>
  <c r="CB56" i="4" s="1"/>
  <c r="BS55" i="4"/>
  <c r="CB55" i="4" s="1"/>
  <c r="BS54" i="4"/>
  <c r="CB54" i="4" s="1"/>
  <c r="BS53" i="4"/>
  <c r="CB53" i="4" s="1"/>
  <c r="BS52" i="4"/>
  <c r="CB52" i="4" s="1"/>
  <c r="BS51" i="4"/>
  <c r="CB51" i="4" s="1"/>
  <c r="BS49" i="4"/>
  <c r="BS48" i="4"/>
  <c r="BS47" i="4"/>
  <c r="BS46" i="4"/>
  <c r="BS45" i="4"/>
  <c r="BS44" i="4"/>
  <c r="BS43" i="4"/>
  <c r="BS42" i="4"/>
  <c r="BS40" i="4"/>
  <c r="BS38" i="4"/>
  <c r="CB38" i="4" s="1"/>
  <c r="BS37" i="4"/>
  <c r="CB37" i="4" s="1"/>
  <c r="BS35" i="4"/>
  <c r="BS32" i="4"/>
  <c r="BS28" i="4"/>
  <c r="BS27" i="4"/>
  <c r="BS26" i="4"/>
  <c r="BS24" i="4"/>
  <c r="BS23" i="4"/>
  <c r="BS22" i="4"/>
  <c r="BS20" i="4"/>
  <c r="BS17" i="4"/>
  <c r="BS16" i="4"/>
  <c r="BS11" i="4"/>
  <c r="BS10" i="4"/>
  <c r="BS7" i="4"/>
  <c r="BS6" i="4"/>
  <c r="BS5" i="4"/>
  <c r="BS3" i="4"/>
  <c r="BO189" i="4"/>
  <c r="BQ189" i="4" s="1"/>
  <c r="BO183" i="4"/>
  <c r="BO165" i="4"/>
  <c r="BO161" i="4"/>
  <c r="BO157" i="4"/>
  <c r="BO135" i="4"/>
  <c r="BO130" i="4"/>
  <c r="BO113" i="4"/>
  <c r="BO106" i="4"/>
  <c r="BO99" i="4"/>
  <c r="BO79" i="4"/>
  <c r="BQ92" i="4" s="1"/>
  <c r="BO14" i="4"/>
  <c r="BU79" i="4"/>
  <c r="BU183" i="4"/>
  <c r="BU165" i="4"/>
  <c r="BU161" i="4"/>
  <c r="CH161" i="4" s="1"/>
  <c r="BU157" i="4"/>
  <c r="CH157" i="4" s="1"/>
  <c r="BU135" i="4"/>
  <c r="CH135" i="4" s="1"/>
  <c r="BU130" i="4"/>
  <c r="BU106" i="4"/>
  <c r="BU113" i="4"/>
  <c r="BU8" i="4"/>
  <c r="BU13" i="4"/>
  <c r="BU189" i="4"/>
  <c r="BU119" i="4"/>
  <c r="BU25" i="4"/>
  <c r="BI178" i="4"/>
  <c r="BI164" i="4"/>
  <c r="BI156" i="4"/>
  <c r="BI81" i="4"/>
  <c r="BI28" i="4"/>
  <c r="BI24" i="4"/>
  <c r="BI25" i="4" s="1"/>
  <c r="A102" i="5"/>
  <c r="B102" i="5"/>
  <c r="C102" i="5"/>
  <c r="D102" i="5"/>
  <c r="E102" i="5"/>
  <c r="F102" i="5"/>
  <c r="G102" i="5"/>
  <c r="H102" i="5"/>
  <c r="I102" i="5"/>
  <c r="J102" i="5"/>
  <c r="K102" i="5"/>
  <c r="L102" i="5"/>
  <c r="M102" i="5"/>
  <c r="N102" i="5"/>
  <c r="O102" i="5"/>
  <c r="P102" i="5"/>
  <c r="Q102" i="5"/>
  <c r="R102" i="5"/>
  <c r="S102" i="5"/>
  <c r="T102" i="5"/>
  <c r="U102" i="5"/>
  <c r="V102" i="5"/>
  <c r="W102" i="5"/>
  <c r="X102" i="5"/>
  <c r="Y102" i="5"/>
  <c r="Z102" i="5"/>
  <c r="AA102" i="5"/>
  <c r="AB102" i="5"/>
  <c r="AC102" i="5"/>
  <c r="AD102" i="5"/>
  <c r="AE102" i="5"/>
  <c r="AF102" i="5"/>
  <c r="AG102" i="5"/>
  <c r="AH102" i="5"/>
  <c r="AI102" i="5"/>
  <c r="AJ102" i="5"/>
  <c r="AK102" i="5"/>
  <c r="AL102" i="5"/>
  <c r="AM102" i="5"/>
  <c r="AN102" i="5"/>
  <c r="AO102" i="5"/>
  <c r="AP102" i="5"/>
  <c r="AQ102" i="5"/>
  <c r="AR102" i="5"/>
  <c r="AS102" i="5"/>
  <c r="AT102" i="5"/>
  <c r="AU102" i="5"/>
  <c r="AV102" i="5"/>
  <c r="AW102" i="5"/>
  <c r="AX102" i="5"/>
  <c r="AY102" i="5"/>
  <c r="AZ102" i="5"/>
  <c r="BA102" i="5"/>
  <c r="BB102" i="5"/>
  <c r="BC102" i="5"/>
  <c r="BD102" i="5"/>
  <c r="BE102" i="5"/>
  <c r="BF102" i="5"/>
  <c r="BG102" i="5"/>
  <c r="BH102" i="5"/>
  <c r="BI102" i="5"/>
  <c r="BJ102" i="5"/>
  <c r="BK102" i="5"/>
  <c r="BL102" i="5"/>
  <c r="BM102" i="5"/>
  <c r="BN102" i="5"/>
  <c r="BO102" i="5"/>
  <c r="BP102" i="5"/>
  <c r="BQ102" i="5"/>
  <c r="BR102" i="5"/>
  <c r="BS102" i="5"/>
  <c r="BT102" i="5"/>
  <c r="BU102" i="5"/>
  <c r="BV102" i="5"/>
  <c r="BW102" i="5"/>
  <c r="BX102" i="5"/>
  <c r="BY102" i="5"/>
  <c r="BZ102" i="5"/>
  <c r="CA102" i="5"/>
  <c r="CB102" i="5"/>
  <c r="CC102" i="5"/>
  <c r="CD102" i="5"/>
  <c r="CE102" i="5"/>
  <c r="CF102" i="5"/>
  <c r="CG102" i="5"/>
  <c r="CH102" i="5"/>
  <c r="CI102" i="5"/>
  <c r="CJ102" i="5"/>
  <c r="CK102" i="5"/>
  <c r="CL102" i="5"/>
  <c r="CM102" i="5"/>
  <c r="CN102" i="5"/>
  <c r="CO102" i="5"/>
  <c r="CP102" i="5"/>
  <c r="CQ102" i="5"/>
  <c r="CR102" i="5"/>
  <c r="CS102" i="5"/>
  <c r="CT102" i="5"/>
  <c r="CU102" i="5"/>
  <c r="CV102" i="5"/>
  <c r="CW102" i="5"/>
  <c r="CX102" i="5"/>
  <c r="CY102" i="5"/>
  <c r="CZ102" i="5"/>
  <c r="DA102" i="5"/>
  <c r="DB102" i="5"/>
  <c r="DC102" i="5"/>
  <c r="DD102" i="5"/>
  <c r="DE102" i="5"/>
  <c r="DF102" i="5"/>
  <c r="DG102" i="5"/>
  <c r="DH102" i="5"/>
  <c r="DI102" i="5"/>
  <c r="DJ102" i="5"/>
  <c r="DK102" i="5"/>
  <c r="DL102" i="5"/>
  <c r="DM102" i="5"/>
  <c r="DN102" i="5"/>
  <c r="DO102" i="5"/>
  <c r="DP102" i="5"/>
  <c r="DQ102" i="5"/>
  <c r="DR102" i="5"/>
  <c r="DS102" i="5"/>
  <c r="DT102" i="5"/>
  <c r="DU102" i="5"/>
  <c r="DV102" i="5"/>
  <c r="DW102" i="5"/>
  <c r="DX102" i="5"/>
  <c r="DY102" i="5"/>
  <c r="DZ102" i="5"/>
  <c r="EA102" i="5"/>
  <c r="EB102" i="5"/>
  <c r="EC102" i="5"/>
  <c r="ED102" i="5"/>
  <c r="EE102" i="5"/>
  <c r="EF102" i="5"/>
  <c r="EG102" i="5"/>
  <c r="BL18" i="4"/>
  <c r="BK18" i="4"/>
  <c r="BJ18" i="4"/>
  <c r="BI18" i="4"/>
  <c r="BH18" i="4"/>
  <c r="BG18" i="4"/>
  <c r="BF18" i="4"/>
  <c r="BE18" i="4"/>
  <c r="BC18" i="4"/>
  <c r="BB18" i="4"/>
  <c r="BA18" i="4"/>
  <c r="AZ18" i="4"/>
  <c r="AY18" i="4"/>
  <c r="AW18" i="4"/>
  <c r="AV18" i="4"/>
  <c r="AU18" i="4"/>
  <c r="AT18" i="4"/>
  <c r="AQ18" i="4"/>
  <c r="AP18" i="4"/>
  <c r="AO18" i="4"/>
  <c r="AN18" i="4"/>
  <c r="AL18" i="4"/>
  <c r="A101" i="5"/>
  <c r="B101" i="5"/>
  <c r="C101" i="5"/>
  <c r="D101" i="5"/>
  <c r="E101" i="5"/>
  <c r="F101" i="5"/>
  <c r="G101" i="5"/>
  <c r="H101" i="5"/>
  <c r="I101" i="5"/>
  <c r="J101" i="5"/>
  <c r="K101" i="5"/>
  <c r="L101" i="5"/>
  <c r="M101" i="5"/>
  <c r="N101" i="5"/>
  <c r="O101" i="5"/>
  <c r="P101" i="5"/>
  <c r="Q101" i="5"/>
  <c r="R101" i="5"/>
  <c r="S101" i="5"/>
  <c r="T101" i="5"/>
  <c r="U101" i="5"/>
  <c r="V101" i="5"/>
  <c r="W101" i="5"/>
  <c r="X101" i="5"/>
  <c r="Y101" i="5"/>
  <c r="Z101" i="5"/>
  <c r="AA101" i="5"/>
  <c r="AB101" i="5"/>
  <c r="AC101" i="5"/>
  <c r="AD101" i="5"/>
  <c r="AE101" i="5"/>
  <c r="AF101" i="5"/>
  <c r="AG101" i="5"/>
  <c r="AH101" i="5"/>
  <c r="AI101" i="5"/>
  <c r="AJ101" i="5"/>
  <c r="AK101" i="5"/>
  <c r="AL101" i="5"/>
  <c r="AM101" i="5"/>
  <c r="AN101" i="5"/>
  <c r="AO101" i="5"/>
  <c r="AP101" i="5"/>
  <c r="AQ101" i="5"/>
  <c r="AR101" i="5"/>
  <c r="AS101" i="5"/>
  <c r="AT101" i="5"/>
  <c r="AU101" i="5"/>
  <c r="AV101" i="5"/>
  <c r="AW101" i="5"/>
  <c r="AX101" i="5"/>
  <c r="AY101" i="5"/>
  <c r="AZ101" i="5"/>
  <c r="BA101" i="5"/>
  <c r="BB101" i="5"/>
  <c r="BC101" i="5"/>
  <c r="BD101" i="5"/>
  <c r="BE101" i="5"/>
  <c r="BF101" i="5"/>
  <c r="BG101" i="5"/>
  <c r="BH101" i="5"/>
  <c r="BI101" i="5"/>
  <c r="BJ101" i="5"/>
  <c r="BK101" i="5"/>
  <c r="BL101" i="5"/>
  <c r="BM101" i="5"/>
  <c r="BN101" i="5"/>
  <c r="BO101" i="5"/>
  <c r="BP101" i="5"/>
  <c r="BR101" i="5"/>
  <c r="BS101" i="5"/>
  <c r="BT101" i="5"/>
  <c r="BU101" i="5"/>
  <c r="BV101" i="5"/>
  <c r="BW101" i="5"/>
  <c r="BX101" i="5"/>
  <c r="BY101" i="5"/>
  <c r="BZ101" i="5"/>
  <c r="CA101" i="5"/>
  <c r="CB101" i="5"/>
  <c r="CC101" i="5"/>
  <c r="CD101" i="5"/>
  <c r="CE101" i="5"/>
  <c r="CF101" i="5"/>
  <c r="CG101" i="5"/>
  <c r="CH101" i="5"/>
  <c r="CI101" i="5"/>
  <c r="CJ101" i="5"/>
  <c r="CK101" i="5"/>
  <c r="CL101" i="5"/>
  <c r="CM101" i="5"/>
  <c r="CN101" i="5"/>
  <c r="CO101" i="5"/>
  <c r="CP101" i="5"/>
  <c r="CQ101" i="5"/>
  <c r="CR101" i="5"/>
  <c r="CS101" i="5"/>
  <c r="CT101" i="5"/>
  <c r="CU101" i="5"/>
  <c r="CV101" i="5"/>
  <c r="CW101" i="5"/>
  <c r="CX101" i="5"/>
  <c r="CY101" i="5"/>
  <c r="CZ101" i="5"/>
  <c r="DA101" i="5"/>
  <c r="DB101" i="5"/>
  <c r="DC101" i="5"/>
  <c r="DD101" i="5"/>
  <c r="DE101" i="5"/>
  <c r="DF101" i="5"/>
  <c r="DG101" i="5"/>
  <c r="DH101" i="5"/>
  <c r="DI101" i="5"/>
  <c r="DJ101" i="5"/>
  <c r="DK101" i="5"/>
  <c r="DL101" i="5"/>
  <c r="DM101" i="5"/>
  <c r="DN101" i="5"/>
  <c r="DO101" i="5"/>
  <c r="DP101" i="5"/>
  <c r="DQ101" i="5"/>
  <c r="DR101" i="5"/>
  <c r="DS101" i="5"/>
  <c r="DT101" i="5"/>
  <c r="DU101" i="5"/>
  <c r="DV101" i="5"/>
  <c r="DW101" i="5"/>
  <c r="DX101" i="5"/>
  <c r="DY101" i="5"/>
  <c r="DZ101" i="5"/>
  <c r="EA101" i="5"/>
  <c r="EB101" i="5"/>
  <c r="EC101" i="5"/>
  <c r="ED101" i="5"/>
  <c r="EE101" i="5"/>
  <c r="EF101" i="5"/>
  <c r="BL189" i="4"/>
  <c r="BK189" i="4"/>
  <c r="BJ189" i="4"/>
  <c r="BI189" i="4"/>
  <c r="BH189" i="4"/>
  <c r="BG189" i="4"/>
  <c r="BF189" i="4"/>
  <c r="BE189" i="4"/>
  <c r="BD189" i="4"/>
  <c r="BC189" i="4"/>
  <c r="BB189" i="4"/>
  <c r="BA189" i="4"/>
  <c r="AZ189" i="4"/>
  <c r="AY189" i="4"/>
  <c r="AW189" i="4"/>
  <c r="AU189" i="4"/>
  <c r="AT189" i="4"/>
  <c r="AQ189" i="4"/>
  <c r="AP189" i="4"/>
  <c r="AO189" i="4"/>
  <c r="AN189" i="4"/>
  <c r="AL189" i="4"/>
  <c r="A100" i="5"/>
  <c r="B100" i="5"/>
  <c r="C100" i="5"/>
  <c r="D100" i="5"/>
  <c r="E100" i="5"/>
  <c r="F100" i="5"/>
  <c r="G100" i="5"/>
  <c r="H100" i="5"/>
  <c r="I100" i="5"/>
  <c r="J100" i="5"/>
  <c r="K100" i="5"/>
  <c r="L100" i="5"/>
  <c r="M100" i="5"/>
  <c r="N100" i="5"/>
  <c r="O100" i="5"/>
  <c r="P100" i="5"/>
  <c r="Q100" i="5"/>
  <c r="R100" i="5"/>
  <c r="S100" i="5"/>
  <c r="T100" i="5"/>
  <c r="U100" i="5"/>
  <c r="V100" i="5"/>
  <c r="W100" i="5"/>
  <c r="X100" i="5"/>
  <c r="Y100" i="5"/>
  <c r="Z100" i="5"/>
  <c r="AA100" i="5"/>
  <c r="AB100" i="5"/>
  <c r="AC100" i="5"/>
  <c r="AD100" i="5"/>
  <c r="AE100" i="5"/>
  <c r="AF100" i="5"/>
  <c r="AG100" i="5"/>
  <c r="AH100" i="5"/>
  <c r="AI100" i="5"/>
  <c r="AJ100" i="5"/>
  <c r="AK100" i="5"/>
  <c r="AL100" i="5"/>
  <c r="AM100" i="5"/>
  <c r="AN100" i="5"/>
  <c r="AO100" i="5"/>
  <c r="AP100" i="5"/>
  <c r="AQ100" i="5"/>
  <c r="AR100" i="5"/>
  <c r="AS100" i="5"/>
  <c r="AT100" i="5"/>
  <c r="AU100" i="5"/>
  <c r="AV100" i="5"/>
  <c r="AW100" i="5"/>
  <c r="AX100" i="5"/>
  <c r="AY100" i="5"/>
  <c r="AZ100" i="5"/>
  <c r="BA100" i="5"/>
  <c r="BB100" i="5"/>
  <c r="BC100" i="5"/>
  <c r="BD100" i="5"/>
  <c r="BE100" i="5"/>
  <c r="BF100" i="5"/>
  <c r="BG100" i="5"/>
  <c r="BH100" i="5"/>
  <c r="BI100" i="5"/>
  <c r="BJ100" i="5"/>
  <c r="BK100" i="5"/>
  <c r="BL100" i="5"/>
  <c r="BM100" i="5"/>
  <c r="BN100" i="5"/>
  <c r="BO100" i="5"/>
  <c r="BP100" i="5"/>
  <c r="BQ100" i="5"/>
  <c r="BR100" i="5"/>
  <c r="BS100" i="5"/>
  <c r="BT100" i="5"/>
  <c r="BU100" i="5"/>
  <c r="BV100" i="5"/>
  <c r="BW100" i="5"/>
  <c r="BX100" i="5"/>
  <c r="BY100" i="5"/>
  <c r="BZ100" i="5"/>
  <c r="CA100" i="5"/>
  <c r="CB100" i="5"/>
  <c r="CC100" i="5"/>
  <c r="CD100" i="5"/>
  <c r="CE100" i="5"/>
  <c r="CF100" i="5"/>
  <c r="CG100" i="5"/>
  <c r="CH100" i="5"/>
  <c r="CI100" i="5"/>
  <c r="CJ100" i="5"/>
  <c r="CK100" i="5"/>
  <c r="CL100" i="5"/>
  <c r="CM100" i="5"/>
  <c r="CN100" i="5"/>
  <c r="CO100" i="5"/>
  <c r="CP100" i="5"/>
  <c r="CQ100" i="5"/>
  <c r="CR100" i="5"/>
  <c r="CS100" i="5"/>
  <c r="CT100" i="5"/>
  <c r="CU100" i="5"/>
  <c r="CV100" i="5"/>
  <c r="CW100" i="5"/>
  <c r="CX100" i="5"/>
  <c r="CY100" i="5"/>
  <c r="CZ100" i="5"/>
  <c r="DA100" i="5"/>
  <c r="DB100" i="5"/>
  <c r="DC100" i="5"/>
  <c r="DD100" i="5"/>
  <c r="DE100" i="5"/>
  <c r="DF100" i="5"/>
  <c r="DG100" i="5"/>
  <c r="DH100" i="5"/>
  <c r="DI100" i="5"/>
  <c r="DJ100" i="5"/>
  <c r="DK100" i="5"/>
  <c r="DL100" i="5"/>
  <c r="DM100" i="5"/>
  <c r="DN100" i="5"/>
  <c r="DO100" i="5"/>
  <c r="DP100" i="5"/>
  <c r="DQ100" i="5"/>
  <c r="DR100" i="5"/>
  <c r="DS100" i="5"/>
  <c r="DT100" i="5"/>
  <c r="DU100" i="5"/>
  <c r="DV100" i="5"/>
  <c r="DW100" i="5"/>
  <c r="DX100" i="5"/>
  <c r="DY100" i="5"/>
  <c r="DZ100" i="5"/>
  <c r="EA100" i="5"/>
  <c r="EB100" i="5"/>
  <c r="EC100" i="5"/>
  <c r="ED100" i="5"/>
  <c r="EE100" i="5"/>
  <c r="EF100" i="5"/>
  <c r="EG100" i="5"/>
  <c r="EH100" i="5"/>
  <c r="EI100" i="5"/>
  <c r="EJ100" i="5"/>
  <c r="EK100" i="5"/>
  <c r="EL100" i="5"/>
  <c r="EM100" i="5"/>
  <c r="EN100" i="5"/>
  <c r="EO100" i="5"/>
  <c r="EP100" i="5"/>
  <c r="EQ100" i="5"/>
  <c r="ER100" i="5"/>
  <c r="ES100" i="5"/>
  <c r="ET100" i="5"/>
  <c r="EU100" i="5"/>
  <c r="EV100" i="5"/>
  <c r="EW100" i="5"/>
  <c r="EX100" i="5"/>
  <c r="EY100" i="5"/>
  <c r="EZ100" i="5"/>
  <c r="FA100" i="5"/>
  <c r="FB100" i="5"/>
  <c r="FC100" i="5"/>
  <c r="FD100" i="5"/>
  <c r="FE100" i="5"/>
  <c r="FF100" i="5"/>
  <c r="FG100" i="5"/>
  <c r="FH100" i="5"/>
  <c r="FI100" i="5"/>
  <c r="FJ100" i="5"/>
  <c r="FK100" i="5"/>
  <c r="FL100" i="5"/>
  <c r="FM100" i="5"/>
  <c r="FN100" i="5"/>
  <c r="FO100" i="5"/>
  <c r="FP100" i="5"/>
  <c r="FQ100" i="5"/>
  <c r="FR100" i="5"/>
  <c r="FS100" i="5"/>
  <c r="FT100" i="5"/>
  <c r="FU100" i="5"/>
  <c r="FV100" i="5"/>
  <c r="FW100" i="5"/>
  <c r="FX100" i="5"/>
  <c r="FY100" i="5"/>
  <c r="FZ100" i="5"/>
  <c r="GA100" i="5"/>
  <c r="GB100" i="5"/>
  <c r="GC100" i="5"/>
  <c r="GD100" i="5"/>
  <c r="GE100" i="5"/>
  <c r="GF100" i="5"/>
  <c r="GG100" i="5"/>
  <c r="GH100" i="5"/>
  <c r="GI100" i="5"/>
  <c r="GJ100" i="5"/>
  <c r="GK100" i="5"/>
  <c r="GL100" i="5"/>
  <c r="GM100" i="5"/>
  <c r="GN100" i="5"/>
  <c r="GO100" i="5"/>
  <c r="GP100" i="5"/>
  <c r="GQ100" i="5"/>
  <c r="GR100" i="5"/>
  <c r="BJ122" i="4"/>
  <c r="BH122" i="4"/>
  <c r="BF122" i="4"/>
  <c r="BE122" i="4"/>
  <c r="BC122" i="4"/>
  <c r="BB122" i="4"/>
  <c r="BA122" i="4"/>
  <c r="AY122" i="4"/>
  <c r="AW122" i="4"/>
  <c r="AU122" i="4"/>
  <c r="AT122" i="4"/>
  <c r="AQ122" i="4"/>
  <c r="AO122" i="4"/>
  <c r="BK25" i="4"/>
  <c r="BL25" i="4"/>
  <c r="BJ25" i="4"/>
  <c r="BH25" i="4"/>
  <c r="BG25" i="4"/>
  <c r="BF25" i="4"/>
  <c r="BE25" i="4"/>
  <c r="BC25" i="4"/>
  <c r="BB25" i="4"/>
  <c r="BA25" i="4"/>
  <c r="AY25" i="4"/>
  <c r="AW25" i="4"/>
  <c r="AU25" i="4"/>
  <c r="AT25" i="4"/>
  <c r="AQ25" i="4"/>
  <c r="AP25" i="4"/>
  <c r="AO25" i="4"/>
  <c r="AN25" i="4"/>
  <c r="AL25" i="4"/>
  <c r="AS30" i="4"/>
  <c r="AW30" i="4"/>
  <c r="BM30" i="4"/>
  <c r="BU176" i="4" l="1"/>
  <c r="CH165" i="4"/>
  <c r="BQ12" i="4"/>
  <c r="CB14" i="4" s="1"/>
  <c r="BW25" i="4"/>
  <c r="BO176" i="4"/>
  <c r="BW189" i="4"/>
  <c r="BU14" i="4"/>
  <c r="BU92" i="4"/>
  <c r="BS196" i="4"/>
  <c r="BS99" i="4"/>
  <c r="BS18" i="4"/>
  <c r="BQ101" i="5"/>
  <c r="BS189" i="4"/>
  <c r="BS106" i="4"/>
  <c r="BS25" i="4"/>
  <c r="BU120" i="4"/>
  <c r="BO120" i="4"/>
  <c r="BO92" i="4"/>
  <c r="A99" i="5"/>
  <c r="B99" i="5"/>
  <c r="C99" i="5"/>
  <c r="A98" i="5"/>
  <c r="B98" i="5"/>
  <c r="C98" i="5"/>
  <c r="D98" i="5"/>
  <c r="E98" i="5"/>
  <c r="F98" i="5"/>
  <c r="G98" i="5"/>
  <c r="H98" i="5"/>
  <c r="I98" i="5"/>
  <c r="J98" i="5"/>
  <c r="K98" i="5"/>
  <c r="L98" i="5"/>
  <c r="M98" i="5"/>
  <c r="N98" i="5"/>
  <c r="O98" i="5"/>
  <c r="P98" i="5"/>
  <c r="Q98" i="5"/>
  <c r="R98" i="5"/>
  <c r="S98" i="5"/>
  <c r="T98" i="5"/>
  <c r="U98" i="5"/>
  <c r="V98" i="5"/>
  <c r="W98" i="5"/>
  <c r="X98" i="5"/>
  <c r="Y98" i="5"/>
  <c r="Z98" i="5"/>
  <c r="AA98" i="5"/>
  <c r="AB98" i="5"/>
  <c r="AC98" i="5"/>
  <c r="AD98" i="5"/>
  <c r="AE98" i="5"/>
  <c r="AF98" i="5"/>
  <c r="AG98" i="5"/>
  <c r="AH98" i="5"/>
  <c r="AI98" i="5"/>
  <c r="AJ98" i="5"/>
  <c r="AK98" i="5"/>
  <c r="AL98" i="5"/>
  <c r="AM98" i="5"/>
  <c r="AN98" i="5"/>
  <c r="AO98" i="5"/>
  <c r="AP98" i="5"/>
  <c r="AQ98" i="5"/>
  <c r="AR98" i="5"/>
  <c r="AS98" i="5"/>
  <c r="AT98" i="5"/>
  <c r="AU98" i="5"/>
  <c r="AV98" i="5"/>
  <c r="AW98" i="5"/>
  <c r="AX98" i="5"/>
  <c r="AY98" i="5"/>
  <c r="AZ98" i="5"/>
  <c r="BA98" i="5"/>
  <c r="BB98" i="5"/>
  <c r="BC98" i="5"/>
  <c r="BD98" i="5"/>
  <c r="BE98" i="5"/>
  <c r="BF98" i="5"/>
  <c r="BG98" i="5"/>
  <c r="BH98" i="5"/>
  <c r="BI98" i="5"/>
  <c r="BJ98" i="5"/>
  <c r="BK98" i="5"/>
  <c r="BL98" i="5"/>
  <c r="BM98" i="5"/>
  <c r="BN98" i="5"/>
  <c r="BO98" i="5"/>
  <c r="BP98" i="5"/>
  <c r="BQ98" i="5"/>
  <c r="BR98" i="5"/>
  <c r="BS98" i="5"/>
  <c r="BT98" i="5"/>
  <c r="BU98" i="5"/>
  <c r="BV98" i="5"/>
  <c r="BW98" i="5"/>
  <c r="BX98" i="5"/>
  <c r="BY98" i="5"/>
  <c r="BZ98" i="5"/>
  <c r="CA98" i="5"/>
  <c r="CB98" i="5"/>
  <c r="CC98" i="5"/>
  <c r="CD98" i="5"/>
  <c r="CE98" i="5"/>
  <c r="CF98" i="5"/>
  <c r="CG98" i="5"/>
  <c r="CH98" i="5"/>
  <c r="CI98" i="5"/>
  <c r="CJ98" i="5"/>
  <c r="CK98" i="5"/>
  <c r="CL98" i="5"/>
  <c r="CM98" i="5"/>
  <c r="CN98" i="5"/>
  <c r="CO98" i="5"/>
  <c r="CP98" i="5"/>
  <c r="CQ98" i="5"/>
  <c r="CR98" i="5"/>
  <c r="CS98" i="5"/>
  <c r="CT98" i="5"/>
  <c r="CU98" i="5"/>
  <c r="CV98" i="5"/>
  <c r="CW98" i="5"/>
  <c r="CX98" i="5"/>
  <c r="CY98" i="5"/>
  <c r="CZ98" i="5"/>
  <c r="DA98" i="5"/>
  <c r="DB98" i="5"/>
  <c r="DC98" i="5"/>
  <c r="DD98" i="5"/>
  <c r="DE98" i="5"/>
  <c r="DF98" i="5"/>
  <c r="DG98" i="5"/>
  <c r="DH98" i="5"/>
  <c r="DI98" i="5"/>
  <c r="DJ98" i="5"/>
  <c r="DK98" i="5"/>
  <c r="DL98" i="5"/>
  <c r="DM98" i="5"/>
  <c r="DN98" i="5"/>
  <c r="DO98" i="5"/>
  <c r="DP98" i="5"/>
  <c r="DQ98" i="5"/>
  <c r="DR98" i="5"/>
  <c r="DS98" i="5"/>
  <c r="DT98" i="5"/>
  <c r="DU98" i="5"/>
  <c r="DV98" i="5"/>
  <c r="DW98" i="5"/>
  <c r="DX98" i="5"/>
  <c r="DY98" i="5"/>
  <c r="DZ98" i="5"/>
  <c r="EA98" i="5"/>
  <c r="EB98" i="5"/>
  <c r="EC98" i="5"/>
  <c r="ED98" i="5"/>
  <c r="EE98" i="5"/>
  <c r="EF98" i="5"/>
  <c r="EG98" i="5"/>
  <c r="EH98" i="5"/>
  <c r="EI98" i="5"/>
  <c r="EJ98" i="5"/>
  <c r="EK98" i="5"/>
  <c r="EL98" i="5"/>
  <c r="EM98" i="5"/>
  <c r="EN98" i="5"/>
  <c r="EO98" i="5"/>
  <c r="EP98" i="5"/>
  <c r="EQ98" i="5"/>
  <c r="ER98" i="5"/>
  <c r="ES98" i="5"/>
  <c r="ET98" i="5"/>
  <c r="EU98" i="5"/>
  <c r="EV98" i="5"/>
  <c r="EW98" i="5"/>
  <c r="EX98" i="5"/>
  <c r="EY98" i="5"/>
  <c r="EZ98" i="5"/>
  <c r="FA98" i="5"/>
  <c r="FB98" i="5"/>
  <c r="FC98" i="5"/>
  <c r="FD98" i="5"/>
  <c r="FE98" i="5"/>
  <c r="FF98" i="5"/>
  <c r="FG98" i="5"/>
  <c r="FH98" i="5"/>
  <c r="FI98" i="5"/>
  <c r="FJ98" i="5"/>
  <c r="FK98" i="5"/>
  <c r="FL98" i="5"/>
  <c r="FM98" i="5"/>
  <c r="FN98" i="5"/>
  <c r="FO98" i="5"/>
  <c r="FP98" i="5"/>
  <c r="FQ98" i="5"/>
  <c r="FR98" i="5"/>
  <c r="FS98" i="5"/>
  <c r="FT98" i="5"/>
  <c r="FU98" i="5"/>
  <c r="FV98" i="5"/>
  <c r="FW98" i="5"/>
  <c r="FX98" i="5"/>
  <c r="FY98" i="5"/>
  <c r="FZ98" i="5"/>
  <c r="GA98" i="5"/>
  <c r="GB98" i="5"/>
  <c r="GC98" i="5"/>
  <c r="GD98" i="5"/>
  <c r="GE98" i="5"/>
  <c r="GF98" i="5"/>
  <c r="GG98" i="5"/>
  <c r="GH98" i="5"/>
  <c r="GI98" i="5"/>
  <c r="GJ98" i="5"/>
  <c r="GK98" i="5"/>
  <c r="GL98" i="5"/>
  <c r="GM98" i="5"/>
  <c r="GN98" i="5"/>
  <c r="GO98" i="5"/>
  <c r="CB197" i="4" l="1"/>
  <c r="CH197" i="4" s="1"/>
  <c r="CH14" i="4"/>
  <c r="BU122" i="4"/>
  <c r="BS12" i="4"/>
  <c r="BO122" i="4"/>
  <c r="BQ197" i="4" s="1"/>
  <c r="A97" i="5"/>
  <c r="B97" i="5"/>
  <c r="C97" i="5"/>
  <c r="D97" i="5"/>
  <c r="E97" i="5"/>
  <c r="F97" i="5"/>
  <c r="G97" i="5"/>
  <c r="H97" i="5"/>
  <c r="I97" i="5"/>
  <c r="J97" i="5"/>
  <c r="K97" i="5"/>
  <c r="L97" i="5"/>
  <c r="M97" i="5"/>
  <c r="N97" i="5"/>
  <c r="O97" i="5"/>
  <c r="P97" i="5"/>
  <c r="Q97" i="5"/>
  <c r="R97" i="5"/>
  <c r="S97" i="5"/>
  <c r="T97" i="5"/>
  <c r="U97" i="5"/>
  <c r="V97" i="5"/>
  <c r="W97" i="5"/>
  <c r="X97" i="5"/>
  <c r="Y97" i="5"/>
  <c r="Z97" i="5"/>
  <c r="AA97" i="5"/>
  <c r="AB97" i="5"/>
  <c r="AC97" i="5"/>
  <c r="AD97" i="5"/>
  <c r="AE97" i="5"/>
  <c r="AF97" i="5"/>
  <c r="AG97" i="5"/>
  <c r="AH97" i="5"/>
  <c r="AI97" i="5"/>
  <c r="AJ97" i="5"/>
  <c r="AK97" i="5"/>
  <c r="AL97" i="5"/>
  <c r="AM97" i="5"/>
  <c r="AN97" i="5"/>
  <c r="AO97" i="5"/>
  <c r="AP97" i="5"/>
  <c r="AQ97" i="5"/>
  <c r="AR97" i="5"/>
  <c r="AS97" i="5"/>
  <c r="AT97" i="5"/>
  <c r="AU97" i="5"/>
  <c r="AV97" i="5"/>
  <c r="AW97" i="5"/>
  <c r="AX97" i="5"/>
  <c r="AY97" i="5"/>
  <c r="AZ97" i="5"/>
  <c r="BA97" i="5"/>
  <c r="BB97" i="5"/>
  <c r="BC97" i="5"/>
  <c r="BD97" i="5"/>
  <c r="BE97" i="5"/>
  <c r="BF97" i="5"/>
  <c r="BG97" i="5"/>
  <c r="BH97" i="5"/>
  <c r="BI97" i="5"/>
  <c r="BJ97" i="5"/>
  <c r="BK97" i="5"/>
  <c r="BL97" i="5"/>
  <c r="BM97" i="5"/>
  <c r="BN97" i="5"/>
  <c r="BO97" i="5"/>
  <c r="BP97" i="5"/>
  <c r="BQ97" i="5"/>
  <c r="BR97" i="5"/>
  <c r="BS97" i="5"/>
  <c r="BT97" i="5"/>
  <c r="BU97" i="5"/>
  <c r="BV97" i="5"/>
  <c r="BW97" i="5"/>
  <c r="BX97" i="5"/>
  <c r="BY97" i="5"/>
  <c r="BZ97" i="5"/>
  <c r="CA97" i="5"/>
  <c r="CB97" i="5"/>
  <c r="CC97" i="5"/>
  <c r="CD97" i="5"/>
  <c r="CE97" i="5"/>
  <c r="CF97" i="5"/>
  <c r="CG97" i="5"/>
  <c r="CH97" i="5"/>
  <c r="CI97" i="5"/>
  <c r="CJ97" i="5"/>
  <c r="CK97" i="5"/>
  <c r="CL97" i="5"/>
  <c r="CM97" i="5"/>
  <c r="CN97" i="5"/>
  <c r="CO97" i="5"/>
  <c r="CP97" i="5"/>
  <c r="CQ97" i="5"/>
  <c r="CR97" i="5"/>
  <c r="CS97" i="5"/>
  <c r="CT97" i="5"/>
  <c r="CU97" i="5"/>
  <c r="CV97" i="5"/>
  <c r="CW97" i="5"/>
  <c r="CX97" i="5"/>
  <c r="CY97" i="5"/>
  <c r="CZ97" i="5"/>
  <c r="DA97" i="5"/>
  <c r="DB97" i="5"/>
  <c r="DC97" i="5"/>
  <c r="DD97" i="5"/>
  <c r="DE97" i="5"/>
  <c r="DF97" i="5"/>
  <c r="DG97" i="5"/>
  <c r="DH97" i="5"/>
  <c r="DI97" i="5"/>
  <c r="DJ97" i="5"/>
  <c r="DK97" i="5"/>
  <c r="DL97" i="5"/>
  <c r="DM97" i="5"/>
  <c r="DN97" i="5"/>
  <c r="DO97" i="5"/>
  <c r="DP97" i="5"/>
  <c r="DQ97" i="5"/>
  <c r="DR97" i="5"/>
  <c r="DS97" i="5"/>
  <c r="DT97" i="5"/>
  <c r="DU97" i="5"/>
  <c r="DV97" i="5"/>
  <c r="DW97" i="5"/>
  <c r="DX97" i="5"/>
  <c r="DY97" i="5"/>
  <c r="DZ97" i="5"/>
  <c r="EA97" i="5"/>
  <c r="EB97" i="5"/>
  <c r="EC97" i="5"/>
  <c r="ED97" i="5"/>
  <c r="EE97" i="5"/>
  <c r="EF97" i="5"/>
  <c r="EG97" i="5"/>
  <c r="EH97" i="5"/>
  <c r="EI97" i="5"/>
  <c r="EJ97" i="5"/>
  <c r="EK97" i="5"/>
  <c r="EL97" i="5"/>
  <c r="EM97" i="5"/>
  <c r="EN97" i="5"/>
  <c r="EO97" i="5"/>
  <c r="EP97" i="5"/>
  <c r="EQ97" i="5"/>
  <c r="ER97" i="5"/>
  <c r="ES97" i="5"/>
  <c r="ET97" i="5"/>
  <c r="EU97" i="5"/>
  <c r="EV97" i="5"/>
  <c r="EW97" i="5"/>
  <c r="EX97" i="5"/>
  <c r="EY97" i="5"/>
  <c r="EZ97" i="5"/>
  <c r="FA97" i="5"/>
  <c r="FB97" i="5"/>
  <c r="FC97" i="5"/>
  <c r="FD97" i="5"/>
  <c r="FE97" i="5"/>
  <c r="FF97" i="5"/>
  <c r="FG97" i="5"/>
  <c r="FH97" i="5"/>
  <c r="FI97" i="5"/>
  <c r="FJ97" i="5"/>
  <c r="FK97" i="5"/>
  <c r="FL97" i="5"/>
  <c r="FM97" i="5"/>
  <c r="FN97" i="5"/>
  <c r="FO97" i="5"/>
  <c r="FP97" i="5"/>
  <c r="FQ97" i="5"/>
  <c r="FR97" i="5"/>
  <c r="FS97" i="5"/>
  <c r="FT97" i="5"/>
  <c r="FU97" i="5"/>
  <c r="FV97" i="5"/>
  <c r="FW97" i="5"/>
  <c r="FX97" i="5"/>
  <c r="FY97" i="5"/>
  <c r="FZ97" i="5"/>
  <c r="GA97" i="5"/>
  <c r="GB97" i="5"/>
  <c r="GC97" i="5"/>
  <c r="GD97" i="5"/>
  <c r="GE97" i="5"/>
  <c r="GF97" i="5"/>
  <c r="GG97" i="5"/>
  <c r="GH97" i="5"/>
  <c r="GI97" i="5"/>
  <c r="GJ97" i="5"/>
  <c r="GK97" i="5"/>
  <c r="GL97" i="5"/>
  <c r="GM97" i="5"/>
  <c r="GN97" i="5"/>
  <c r="GO97" i="5"/>
  <c r="GP97" i="5"/>
  <c r="A96" i="5"/>
  <c r="B96" i="5"/>
  <c r="C96" i="5"/>
  <c r="D96" i="5"/>
  <c r="E96" i="5"/>
  <c r="F96" i="5"/>
  <c r="G96" i="5"/>
  <c r="H96" i="5"/>
  <c r="I96" i="5"/>
  <c r="J96" i="5"/>
  <c r="K96" i="5"/>
  <c r="L96" i="5"/>
  <c r="M96" i="5"/>
  <c r="N96" i="5"/>
  <c r="O96" i="5"/>
  <c r="P96" i="5"/>
  <c r="Q96" i="5"/>
  <c r="R96" i="5"/>
  <c r="S96" i="5"/>
  <c r="T96" i="5"/>
  <c r="U96" i="5"/>
  <c r="V96" i="5"/>
  <c r="W96" i="5"/>
  <c r="X96" i="5"/>
  <c r="Y96" i="5"/>
  <c r="Z96" i="5"/>
  <c r="AA96" i="5"/>
  <c r="AB96" i="5"/>
  <c r="AC96" i="5"/>
  <c r="AD96" i="5"/>
  <c r="AE96" i="5"/>
  <c r="AF96" i="5"/>
  <c r="AG96" i="5"/>
  <c r="AH96" i="5"/>
  <c r="AI96" i="5"/>
  <c r="AJ96" i="5"/>
  <c r="AK96" i="5"/>
  <c r="AL96" i="5"/>
  <c r="AM96" i="5"/>
  <c r="AN96" i="5"/>
  <c r="AO96" i="5"/>
  <c r="AP96" i="5"/>
  <c r="AQ96" i="5"/>
  <c r="AR96" i="5"/>
  <c r="AS96" i="5"/>
  <c r="AT96" i="5"/>
  <c r="AU96" i="5"/>
  <c r="AV96" i="5"/>
  <c r="AW96" i="5"/>
  <c r="AX96" i="5"/>
  <c r="AY96" i="5"/>
  <c r="AZ96" i="5"/>
  <c r="BA96" i="5"/>
  <c r="BB96" i="5"/>
  <c r="BC96" i="5"/>
  <c r="BD96" i="5"/>
  <c r="BE96" i="5"/>
  <c r="BF96" i="5"/>
  <c r="BG96" i="5"/>
  <c r="BH96" i="5"/>
  <c r="BI96" i="5"/>
  <c r="BJ96" i="5"/>
  <c r="BK96" i="5"/>
  <c r="BL96" i="5"/>
  <c r="BM96" i="5"/>
  <c r="BN96" i="5"/>
  <c r="BO96" i="5"/>
  <c r="BP96" i="5"/>
  <c r="BQ96" i="5"/>
  <c r="BR96" i="5"/>
  <c r="BS96" i="5"/>
  <c r="BT96" i="5"/>
  <c r="BU96" i="5"/>
  <c r="BV96" i="5"/>
  <c r="BW96" i="5"/>
  <c r="BX96" i="5"/>
  <c r="BY96" i="5"/>
  <c r="BZ96" i="5"/>
  <c r="CA96" i="5"/>
  <c r="CB96" i="5"/>
  <c r="CC96" i="5"/>
  <c r="CD96" i="5"/>
  <c r="CE96" i="5"/>
  <c r="CF96" i="5"/>
  <c r="CG96" i="5"/>
  <c r="CH96" i="5"/>
  <c r="CI96" i="5"/>
  <c r="CJ96" i="5"/>
  <c r="CK96" i="5"/>
  <c r="CL96" i="5"/>
  <c r="CM96" i="5"/>
  <c r="CN96" i="5"/>
  <c r="CO96" i="5"/>
  <c r="CP96" i="5"/>
  <c r="CQ96" i="5"/>
  <c r="CR96" i="5"/>
  <c r="CS96" i="5"/>
  <c r="CT96" i="5"/>
  <c r="CU96" i="5"/>
  <c r="CV96" i="5"/>
  <c r="CW96" i="5"/>
  <c r="CX96" i="5"/>
  <c r="CY96" i="5"/>
  <c r="CZ96" i="5"/>
  <c r="DA96" i="5"/>
  <c r="DB96" i="5"/>
  <c r="DC96" i="5"/>
  <c r="DD96" i="5"/>
  <c r="DE96" i="5"/>
  <c r="DF96" i="5"/>
  <c r="DG96" i="5"/>
  <c r="DH96" i="5"/>
  <c r="DI96" i="5"/>
  <c r="DJ96" i="5"/>
  <c r="DK96" i="5"/>
  <c r="DL96" i="5"/>
  <c r="DM96" i="5"/>
  <c r="DN96" i="5"/>
  <c r="DO96" i="5"/>
  <c r="DP96" i="5"/>
  <c r="DQ96" i="5"/>
  <c r="DR96" i="5"/>
  <c r="DS96" i="5"/>
  <c r="DT96" i="5"/>
  <c r="DU96" i="5"/>
  <c r="DV96" i="5"/>
  <c r="DW96" i="5"/>
  <c r="DX96" i="5"/>
  <c r="DY96" i="5"/>
  <c r="BM32" i="4"/>
  <c r="BU32" i="4" s="1"/>
  <c r="BM23" i="4"/>
  <c r="BM118" i="4"/>
  <c r="BM117" i="4"/>
  <c r="BM116" i="4"/>
  <c r="BM115" i="4"/>
  <c r="BM70" i="4"/>
  <c r="BW32" i="4" l="1"/>
  <c r="BO197" i="4"/>
  <c r="BK130" i="4"/>
  <c r="BG79" i="4"/>
  <c r="BS113" i="4" l="1"/>
  <c r="BW113" i="4"/>
  <c r="BS130" i="4"/>
  <c r="BW130" i="4"/>
  <c r="BI29" i="4"/>
  <c r="BI33" i="4" s="1"/>
  <c r="BI183" i="4"/>
  <c r="BI165" i="4"/>
  <c r="BI161" i="4"/>
  <c r="BI157" i="4"/>
  <c r="BI135" i="4"/>
  <c r="BI130" i="4"/>
  <c r="BI113" i="4"/>
  <c r="BI106" i="4"/>
  <c r="BI99" i="4"/>
  <c r="BI13" i="4"/>
  <c r="BI8" i="4"/>
  <c r="BI79" i="4"/>
  <c r="BI92" i="4" s="1"/>
  <c r="BF92" i="4"/>
  <c r="BE92" i="4"/>
  <c r="A95" i="5"/>
  <c r="B95" i="5"/>
  <c r="C95" i="5"/>
  <c r="D95" i="5"/>
  <c r="E95" i="5"/>
  <c r="F95" i="5"/>
  <c r="G95" i="5"/>
  <c r="H95" i="5"/>
  <c r="I95" i="5"/>
  <c r="J95" i="5"/>
  <c r="K95" i="5"/>
  <c r="L95" i="5"/>
  <c r="M95" i="5"/>
  <c r="N95" i="5"/>
  <c r="O95" i="5"/>
  <c r="P95" i="5"/>
  <c r="Q95" i="5"/>
  <c r="R95" i="5"/>
  <c r="S95" i="5"/>
  <c r="T95" i="5"/>
  <c r="U95" i="5"/>
  <c r="V95" i="5"/>
  <c r="W95" i="5"/>
  <c r="X95" i="5"/>
  <c r="Y95" i="5"/>
  <c r="Z95" i="5"/>
  <c r="AA95" i="5"/>
  <c r="AB95" i="5"/>
  <c r="AC95" i="5"/>
  <c r="AD95" i="5"/>
  <c r="AE95" i="5"/>
  <c r="AF95" i="5"/>
  <c r="AG95" i="5"/>
  <c r="AH95" i="5"/>
  <c r="AI95" i="5"/>
  <c r="AJ95" i="5"/>
  <c r="AK95" i="5"/>
  <c r="AL95" i="5"/>
  <c r="AM95" i="5"/>
  <c r="AN95" i="5"/>
  <c r="AO95" i="5"/>
  <c r="AP95" i="5"/>
  <c r="AQ95" i="5"/>
  <c r="AR95" i="5"/>
  <c r="AS95" i="5"/>
  <c r="AT95" i="5"/>
  <c r="AU95" i="5"/>
  <c r="AV95" i="5"/>
  <c r="AW95" i="5"/>
  <c r="AX95" i="5"/>
  <c r="AY95" i="5"/>
  <c r="AZ95" i="5"/>
  <c r="BA95" i="5"/>
  <c r="BB95" i="5"/>
  <c r="A94" i="5"/>
  <c r="B94" i="5"/>
  <c r="C94" i="5"/>
  <c r="D94" i="5"/>
  <c r="E94" i="5"/>
  <c r="F94" i="5"/>
  <c r="G94" i="5"/>
  <c r="H94" i="5"/>
  <c r="I94" i="5"/>
  <c r="J94" i="5"/>
  <c r="K94" i="5"/>
  <c r="L94" i="5"/>
  <c r="M94" i="5"/>
  <c r="N94" i="5"/>
  <c r="O94" i="5"/>
  <c r="P94" i="5"/>
  <c r="Q94" i="5"/>
  <c r="R94" i="5"/>
  <c r="S94" i="5"/>
  <c r="T94" i="5"/>
  <c r="U94" i="5"/>
  <c r="V94" i="5"/>
  <c r="W94" i="5"/>
  <c r="X94" i="5"/>
  <c r="Y94" i="5"/>
  <c r="Z94" i="5"/>
  <c r="AA94" i="5"/>
  <c r="AB94" i="5"/>
  <c r="AC94" i="5"/>
  <c r="AD94" i="5"/>
  <c r="AE94" i="5"/>
  <c r="AF94" i="5"/>
  <c r="AG94" i="5"/>
  <c r="AH94" i="5"/>
  <c r="AI94" i="5"/>
  <c r="AJ94" i="5"/>
  <c r="AK94" i="5"/>
  <c r="AL94" i="5"/>
  <c r="AM94" i="5"/>
  <c r="AN94" i="5"/>
  <c r="AO94" i="5"/>
  <c r="AP94" i="5"/>
  <c r="AQ94" i="5"/>
  <c r="AR94" i="5"/>
  <c r="AS94" i="5"/>
  <c r="AT94" i="5"/>
  <c r="AU94" i="5"/>
  <c r="AV94" i="5"/>
  <c r="AW94" i="5"/>
  <c r="AX94" i="5"/>
  <c r="AY94" i="5"/>
  <c r="AZ94" i="5"/>
  <c r="BA94" i="5"/>
  <c r="BB94" i="5"/>
  <c r="BC94" i="5"/>
  <c r="BD94" i="5"/>
  <c r="BE94" i="5"/>
  <c r="BF94" i="5"/>
  <c r="BG94" i="5"/>
  <c r="BH94" i="5"/>
  <c r="BI94" i="5"/>
  <c r="BJ94" i="5"/>
  <c r="BK94" i="5"/>
  <c r="BL94" i="5"/>
  <c r="BM94" i="5"/>
  <c r="BN94" i="5"/>
  <c r="BO94" i="5"/>
  <c r="BP94" i="5"/>
  <c r="BQ94" i="5"/>
  <c r="BR94" i="5"/>
  <c r="BS94" i="5"/>
  <c r="BT94" i="5"/>
  <c r="BU94" i="5"/>
  <c r="BV94" i="5"/>
  <c r="BW94" i="5"/>
  <c r="BX94" i="5"/>
  <c r="BY94" i="5"/>
  <c r="BZ94" i="5"/>
  <c r="CA94" i="5"/>
  <c r="CB94" i="5"/>
  <c r="CC94" i="5"/>
  <c r="CD94" i="5"/>
  <c r="CE94" i="5"/>
  <c r="CF94" i="5"/>
  <c r="CG94" i="5"/>
  <c r="CH94" i="5"/>
  <c r="CI94" i="5"/>
  <c r="CJ94" i="5"/>
  <c r="CK94" i="5"/>
  <c r="CL94" i="5"/>
  <c r="CM94" i="5"/>
  <c r="CN94" i="5"/>
  <c r="CO94" i="5"/>
  <c r="CP94" i="5"/>
  <c r="CQ94" i="5"/>
  <c r="CR94" i="5"/>
  <c r="CS94" i="5"/>
  <c r="CT94" i="5"/>
  <c r="CU94" i="5"/>
  <c r="CV94" i="5"/>
  <c r="CW94" i="5"/>
  <c r="CX94" i="5"/>
  <c r="CY94" i="5"/>
  <c r="CZ94" i="5"/>
  <c r="DA94" i="5"/>
  <c r="DB94" i="5"/>
  <c r="DC94" i="5"/>
  <c r="DD94" i="5"/>
  <c r="DE94" i="5"/>
  <c r="DF94" i="5"/>
  <c r="DG94" i="5"/>
  <c r="DH94" i="5"/>
  <c r="DI94" i="5"/>
  <c r="DJ94" i="5"/>
  <c r="DK94" i="5"/>
  <c r="DL94" i="5"/>
  <c r="DM94" i="5"/>
  <c r="DN94" i="5"/>
  <c r="DO94" i="5"/>
  <c r="DP94" i="5"/>
  <c r="DQ94" i="5"/>
  <c r="DR94" i="5"/>
  <c r="DS94" i="5"/>
  <c r="DT94" i="5"/>
  <c r="DU94" i="5"/>
  <c r="DV94" i="5"/>
  <c r="DW94" i="5"/>
  <c r="DX94" i="5"/>
  <c r="DY94" i="5"/>
  <c r="DZ94" i="5"/>
  <c r="EA94" i="5"/>
  <c r="EB94" i="5"/>
  <c r="EC94" i="5"/>
  <c r="ED94" i="5"/>
  <c r="EE94" i="5"/>
  <c r="EF94" i="5"/>
  <c r="EG94" i="5"/>
  <c r="EH94" i="5"/>
  <c r="EI94" i="5"/>
  <c r="EJ94" i="5"/>
  <c r="EK94" i="5"/>
  <c r="EL94" i="5"/>
  <c r="EM94" i="5"/>
  <c r="EN94" i="5"/>
  <c r="EO94" i="5"/>
  <c r="EP94" i="5"/>
  <c r="EQ94" i="5"/>
  <c r="ER94" i="5"/>
  <c r="ES94" i="5"/>
  <c r="ET94" i="5"/>
  <c r="EU94" i="5"/>
  <c r="EV94" i="5"/>
  <c r="EW94" i="5"/>
  <c r="EX94" i="5"/>
  <c r="EY94" i="5"/>
  <c r="EZ94" i="5"/>
  <c r="FA94" i="5"/>
  <c r="FB94" i="5"/>
  <c r="FC94" i="5"/>
  <c r="FD94" i="5"/>
  <c r="FE94" i="5"/>
  <c r="FF94" i="5"/>
  <c r="FG94" i="5"/>
  <c r="FH94" i="5"/>
  <c r="FI94" i="5"/>
  <c r="FJ94" i="5"/>
  <c r="FK94" i="5"/>
  <c r="FL94" i="5"/>
  <c r="FM94" i="5"/>
  <c r="FN94" i="5"/>
  <c r="FO94" i="5"/>
  <c r="FP94" i="5"/>
  <c r="FQ94" i="5"/>
  <c r="FR94" i="5"/>
  <c r="FS94" i="5"/>
  <c r="FT94" i="5"/>
  <c r="FU94" i="5"/>
  <c r="FV94" i="5"/>
  <c r="FW94" i="5"/>
  <c r="FX94" i="5"/>
  <c r="FY94" i="5"/>
  <c r="FZ94" i="5"/>
  <c r="GA94" i="5"/>
  <c r="GB94" i="5"/>
  <c r="GC94" i="5"/>
  <c r="GD94" i="5"/>
  <c r="GE94" i="5"/>
  <c r="GF94" i="5"/>
  <c r="GG94" i="5"/>
  <c r="GH94" i="5"/>
  <c r="GI94" i="5"/>
  <c r="GJ94" i="5"/>
  <c r="GK94" i="5"/>
  <c r="GL94" i="5"/>
  <c r="GM94" i="5"/>
  <c r="GN94" i="5"/>
  <c r="GO94" i="5"/>
  <c r="GP94" i="5"/>
  <c r="GQ94" i="5"/>
  <c r="GR94" i="5"/>
  <c r="GS94" i="5"/>
  <c r="GT94" i="5"/>
  <c r="GU94" i="5"/>
  <c r="GV94" i="5"/>
  <c r="GW94" i="5"/>
  <c r="GX94" i="5"/>
  <c r="GY94" i="5"/>
  <c r="GZ94" i="5"/>
  <c r="HA94" i="5"/>
  <c r="HB94" i="5"/>
  <c r="HC94" i="5"/>
  <c r="HD94" i="5"/>
  <c r="HE94" i="5"/>
  <c r="HF94" i="5"/>
  <c r="HG94" i="5"/>
  <c r="HH94" i="5"/>
  <c r="HI94" i="5"/>
  <c r="HJ94" i="5"/>
  <c r="HK94" i="5"/>
  <c r="HL94" i="5"/>
  <c r="HM94" i="5"/>
  <c r="HN94" i="5"/>
  <c r="HO94" i="5"/>
  <c r="HP94" i="5"/>
  <c r="HQ94" i="5"/>
  <c r="HR94" i="5"/>
  <c r="HS94" i="5"/>
  <c r="HT94" i="5"/>
  <c r="HU94" i="5"/>
  <c r="HV94" i="5"/>
  <c r="HW94" i="5"/>
  <c r="HX94" i="5"/>
  <c r="HY94" i="5"/>
  <c r="HZ94" i="5"/>
  <c r="IA94" i="5"/>
  <c r="IB94" i="5"/>
  <c r="IC94" i="5"/>
  <c r="ID94" i="5"/>
  <c r="IE94" i="5"/>
  <c r="IF94" i="5"/>
  <c r="IG94" i="5"/>
  <c r="IH94" i="5"/>
  <c r="II94" i="5"/>
  <c r="IJ94" i="5"/>
  <c r="IK94" i="5"/>
  <c r="IL94" i="5"/>
  <c r="IM94" i="5"/>
  <c r="IN94" i="5"/>
  <c r="IO94" i="5"/>
  <c r="IP94" i="5"/>
  <c r="IQ94" i="5"/>
  <c r="IR94" i="5"/>
  <c r="IS94" i="5"/>
  <c r="IT94" i="5"/>
  <c r="IU94" i="5"/>
  <c r="IV94" i="5"/>
  <c r="A93" i="5"/>
  <c r="B93" i="5"/>
  <c r="C93" i="5"/>
  <c r="D93" i="5"/>
  <c r="E93" i="5"/>
  <c r="F93" i="5"/>
  <c r="G93" i="5"/>
  <c r="H93" i="5"/>
  <c r="I93" i="5"/>
  <c r="J93" i="5"/>
  <c r="K93" i="5"/>
  <c r="L93" i="5"/>
  <c r="M93" i="5"/>
  <c r="N93" i="5"/>
  <c r="O93" i="5"/>
  <c r="P93" i="5"/>
  <c r="Q93" i="5"/>
  <c r="R93" i="5"/>
  <c r="S93" i="5"/>
  <c r="T93" i="5"/>
  <c r="U93" i="5"/>
  <c r="V93" i="5"/>
  <c r="W93" i="5"/>
  <c r="X93" i="5"/>
  <c r="Y93" i="5"/>
  <c r="Z93" i="5"/>
  <c r="AA93" i="5"/>
  <c r="AB93" i="5"/>
  <c r="AC93" i="5"/>
  <c r="AD93" i="5"/>
  <c r="AE93" i="5"/>
  <c r="AF93" i="5"/>
  <c r="AG93" i="5"/>
  <c r="AH93" i="5"/>
  <c r="AI93" i="5"/>
  <c r="AJ93" i="5"/>
  <c r="AK93" i="5"/>
  <c r="AL93" i="5"/>
  <c r="AM93" i="5"/>
  <c r="AN93" i="5"/>
  <c r="AO93" i="5"/>
  <c r="AP93" i="5"/>
  <c r="AQ93" i="5"/>
  <c r="AR93" i="5"/>
  <c r="AS93" i="5"/>
  <c r="AT93" i="5"/>
  <c r="AU93" i="5"/>
  <c r="AV93" i="5"/>
  <c r="AW93" i="5"/>
  <c r="AX93" i="5"/>
  <c r="AY93" i="5"/>
  <c r="AZ93" i="5"/>
  <c r="BA93" i="5"/>
  <c r="BB93" i="5"/>
  <c r="BC93" i="5"/>
  <c r="BD93" i="5"/>
  <c r="BE93" i="5"/>
  <c r="BF93" i="5"/>
  <c r="BG93" i="5"/>
  <c r="BH93" i="5"/>
  <c r="BI93" i="5"/>
  <c r="BJ93" i="5"/>
  <c r="BK93" i="5"/>
  <c r="BL93" i="5"/>
  <c r="BM93" i="5"/>
  <c r="BN93" i="5"/>
  <c r="BO93" i="5"/>
  <c r="BP93" i="5"/>
  <c r="BQ93" i="5"/>
  <c r="BR93" i="5"/>
  <c r="BS93" i="5"/>
  <c r="BT93" i="5"/>
  <c r="BU93" i="5"/>
  <c r="BV93" i="5"/>
  <c r="BW93" i="5"/>
  <c r="BX93" i="5"/>
  <c r="BY93" i="5"/>
  <c r="BZ93" i="5"/>
  <c r="CA93" i="5"/>
  <c r="CB93" i="5"/>
  <c r="CC93" i="5"/>
  <c r="CD93" i="5"/>
  <c r="CE93" i="5"/>
  <c r="CF93" i="5"/>
  <c r="CG93" i="5"/>
  <c r="CH93" i="5"/>
  <c r="CI93" i="5"/>
  <c r="CJ93" i="5"/>
  <c r="CK93" i="5"/>
  <c r="CL93" i="5"/>
  <c r="CM93" i="5"/>
  <c r="CN93" i="5"/>
  <c r="CO93" i="5"/>
  <c r="CP93" i="5"/>
  <c r="CQ93" i="5"/>
  <c r="CR93" i="5"/>
  <c r="CS93" i="5"/>
  <c r="CT93" i="5"/>
  <c r="CU93" i="5"/>
  <c r="CV93" i="5"/>
  <c r="CW93" i="5"/>
  <c r="CX93" i="5"/>
  <c r="CY93" i="5"/>
  <c r="CZ93" i="5"/>
  <c r="DA93" i="5"/>
  <c r="DB93" i="5"/>
  <c r="DC93" i="5"/>
  <c r="DD93" i="5"/>
  <c r="DE93" i="5"/>
  <c r="DF93" i="5"/>
  <c r="DG93" i="5"/>
  <c r="DH93" i="5"/>
  <c r="DI93" i="5"/>
  <c r="DJ93" i="5"/>
  <c r="DK93" i="5"/>
  <c r="DL93" i="5"/>
  <c r="DM93" i="5"/>
  <c r="DN93" i="5"/>
  <c r="DO93" i="5"/>
  <c r="DP93" i="5"/>
  <c r="DQ93" i="5"/>
  <c r="DR93" i="5"/>
  <c r="DS93" i="5"/>
  <c r="DT93" i="5"/>
  <c r="DU93" i="5"/>
  <c r="DV93" i="5"/>
  <c r="DW93" i="5"/>
  <c r="DX93" i="5"/>
  <c r="DY93" i="5"/>
  <c r="DZ93" i="5"/>
  <c r="EA93" i="5"/>
  <c r="EB93" i="5"/>
  <c r="EC93" i="5"/>
  <c r="ED93" i="5"/>
  <c r="EE93" i="5"/>
  <c r="EF93" i="5"/>
  <c r="EG93" i="5"/>
  <c r="EH93" i="5"/>
  <c r="EI93" i="5"/>
  <c r="EJ93" i="5"/>
  <c r="EK93" i="5"/>
  <c r="EL93" i="5"/>
  <c r="EM93" i="5"/>
  <c r="EN93" i="5"/>
  <c r="EO93" i="5"/>
  <c r="EP93" i="5"/>
  <c r="EQ93" i="5"/>
  <c r="ER93" i="5"/>
  <c r="ES93" i="5"/>
  <c r="ET93" i="5"/>
  <c r="EU93" i="5"/>
  <c r="EV93" i="5"/>
  <c r="EW93" i="5"/>
  <c r="EX93" i="5"/>
  <c r="EY93" i="5"/>
  <c r="EZ93" i="5"/>
  <c r="FA93" i="5"/>
  <c r="FB93" i="5"/>
  <c r="FC93" i="5"/>
  <c r="FD93" i="5"/>
  <c r="FE93" i="5"/>
  <c r="FF93" i="5"/>
  <c r="FG93" i="5"/>
  <c r="FH93" i="5"/>
  <c r="FI93" i="5"/>
  <c r="FJ93" i="5"/>
  <c r="FK93" i="5"/>
  <c r="FL93" i="5"/>
  <c r="FM93" i="5"/>
  <c r="FN93" i="5"/>
  <c r="FO93" i="5"/>
  <c r="FP93" i="5"/>
  <c r="FQ93" i="5"/>
  <c r="FR93" i="5"/>
  <c r="FS93" i="5"/>
  <c r="FT93" i="5"/>
  <c r="FU93" i="5"/>
  <c r="FV93" i="5"/>
  <c r="FW93" i="5"/>
  <c r="FX93" i="5"/>
  <c r="FY93" i="5"/>
  <c r="FZ93" i="5"/>
  <c r="GA93" i="5"/>
  <c r="GB93" i="5"/>
  <c r="GC93" i="5"/>
  <c r="GD93" i="5"/>
  <c r="GE93" i="5"/>
  <c r="GF93" i="5"/>
  <c r="GG93" i="5"/>
  <c r="GH93" i="5"/>
  <c r="GI93" i="5"/>
  <c r="GJ93" i="5"/>
  <c r="GK93" i="5"/>
  <c r="GL93" i="5"/>
  <c r="GM93" i="5"/>
  <c r="GN93" i="5"/>
  <c r="GO93" i="5"/>
  <c r="GP93" i="5"/>
  <c r="GQ93" i="5"/>
  <c r="GR93" i="5"/>
  <c r="GS93" i="5"/>
  <c r="GT93" i="5"/>
  <c r="GU93" i="5"/>
  <c r="GV93" i="5"/>
  <c r="GW93" i="5"/>
  <c r="GX93" i="5"/>
  <c r="GY93" i="5"/>
  <c r="GZ93" i="5"/>
  <c r="HA93" i="5"/>
  <c r="HB93" i="5"/>
  <c r="HC93" i="5"/>
  <c r="HD93" i="5"/>
  <c r="HE93" i="5"/>
  <c r="HF93" i="5"/>
  <c r="HG93" i="5"/>
  <c r="HH93" i="5"/>
  <c r="HI93" i="5"/>
  <c r="HJ93" i="5"/>
  <c r="HK93" i="5"/>
  <c r="HL93" i="5"/>
  <c r="HM93" i="5"/>
  <c r="HN93" i="5"/>
  <c r="HO93" i="5"/>
  <c r="HP93" i="5"/>
  <c r="HQ93" i="5"/>
  <c r="HR93" i="5"/>
  <c r="HS93" i="5"/>
  <c r="HT93" i="5"/>
  <c r="HU93" i="5"/>
  <c r="HV93" i="5"/>
  <c r="HW93" i="5"/>
  <c r="HX93" i="5"/>
  <c r="HY93" i="5"/>
  <c r="HZ93" i="5"/>
  <c r="IA93" i="5"/>
  <c r="IB93" i="5"/>
  <c r="IC93" i="5"/>
  <c r="ID93" i="5"/>
  <c r="IE93" i="5"/>
  <c r="IF93" i="5"/>
  <c r="IG93" i="5"/>
  <c r="IH93" i="5"/>
  <c r="II93" i="5"/>
  <c r="IJ93" i="5"/>
  <c r="IK93" i="5"/>
  <c r="IL93" i="5"/>
  <c r="IM93" i="5"/>
  <c r="IN93" i="5"/>
  <c r="IO93" i="5"/>
  <c r="IP93" i="5"/>
  <c r="IQ93" i="5"/>
  <c r="IR93" i="5"/>
  <c r="IS93" i="5"/>
  <c r="IT93" i="5"/>
  <c r="IU93" i="5"/>
  <c r="IV93" i="5"/>
  <c r="A92" i="5"/>
  <c r="B92" i="5"/>
  <c r="C92" i="5"/>
  <c r="D92" i="5"/>
  <c r="E92" i="5"/>
  <c r="F92" i="5"/>
  <c r="G92" i="5"/>
  <c r="H92" i="5"/>
  <c r="I92" i="5"/>
  <c r="J92" i="5"/>
  <c r="K92" i="5"/>
  <c r="L92" i="5"/>
  <c r="M92" i="5"/>
  <c r="N92" i="5"/>
  <c r="O92" i="5"/>
  <c r="P92" i="5"/>
  <c r="Q92" i="5"/>
  <c r="R92" i="5"/>
  <c r="S92" i="5"/>
  <c r="T92" i="5"/>
  <c r="U92" i="5"/>
  <c r="V92" i="5"/>
  <c r="W92" i="5"/>
  <c r="X92" i="5"/>
  <c r="Y92" i="5"/>
  <c r="Z92" i="5"/>
  <c r="AA92" i="5"/>
  <c r="AB92" i="5"/>
  <c r="AC92" i="5"/>
  <c r="AD92" i="5"/>
  <c r="AE92" i="5"/>
  <c r="AF92" i="5"/>
  <c r="AG92" i="5"/>
  <c r="AH92" i="5"/>
  <c r="AI92" i="5"/>
  <c r="AJ92" i="5"/>
  <c r="AK92" i="5"/>
  <c r="AL92" i="5"/>
  <c r="AM92" i="5"/>
  <c r="AN92" i="5"/>
  <c r="AO92" i="5"/>
  <c r="AP92" i="5"/>
  <c r="AQ92" i="5"/>
  <c r="AR92" i="5"/>
  <c r="AS92" i="5"/>
  <c r="AT92" i="5"/>
  <c r="AU92" i="5"/>
  <c r="AV92" i="5"/>
  <c r="AW92" i="5"/>
  <c r="AX92" i="5"/>
  <c r="AY92" i="5"/>
  <c r="AZ92" i="5"/>
  <c r="BA92" i="5"/>
  <c r="BB92" i="5"/>
  <c r="BC92" i="5"/>
  <c r="BD92" i="5"/>
  <c r="BE92" i="5"/>
  <c r="BF92" i="5"/>
  <c r="BG92" i="5"/>
  <c r="BH92" i="5"/>
  <c r="BI92" i="5"/>
  <c r="BJ92" i="5"/>
  <c r="BK92" i="5"/>
  <c r="BL92" i="5"/>
  <c r="BM92" i="5"/>
  <c r="BN92" i="5"/>
  <c r="BO92" i="5"/>
  <c r="BP92" i="5"/>
  <c r="BQ92" i="5"/>
  <c r="BR92" i="5"/>
  <c r="BS92" i="5"/>
  <c r="BT92" i="5"/>
  <c r="BU92" i="5"/>
  <c r="BV92" i="5"/>
  <c r="BW92" i="5"/>
  <c r="BX92" i="5"/>
  <c r="BY92" i="5"/>
  <c r="BZ92" i="5"/>
  <c r="CA92" i="5"/>
  <c r="CB92" i="5"/>
  <c r="CC92" i="5"/>
  <c r="CD92" i="5"/>
  <c r="CE92" i="5"/>
  <c r="CF92" i="5"/>
  <c r="CG92" i="5"/>
  <c r="CH92" i="5"/>
  <c r="CI92" i="5"/>
  <c r="CJ92" i="5"/>
  <c r="CK92" i="5"/>
  <c r="CL92" i="5"/>
  <c r="CM92" i="5"/>
  <c r="CN92" i="5"/>
  <c r="CO92" i="5"/>
  <c r="CP92" i="5"/>
  <c r="CQ92" i="5"/>
  <c r="CR92" i="5"/>
  <c r="CS92" i="5"/>
  <c r="CT92" i="5"/>
  <c r="CU92" i="5"/>
  <c r="CV92" i="5"/>
  <c r="CW92" i="5"/>
  <c r="CX92" i="5"/>
  <c r="CY92" i="5"/>
  <c r="CZ92" i="5"/>
  <c r="DA92" i="5"/>
  <c r="DB92" i="5"/>
  <c r="DC92" i="5"/>
  <c r="DD92" i="5"/>
  <c r="DE92" i="5"/>
  <c r="DF92" i="5"/>
  <c r="DG92" i="5"/>
  <c r="DH92" i="5"/>
  <c r="DI92" i="5"/>
  <c r="DJ92" i="5"/>
  <c r="DK92" i="5"/>
  <c r="DL92" i="5"/>
  <c r="DM92" i="5"/>
  <c r="DN92" i="5"/>
  <c r="DO92" i="5"/>
  <c r="DP92" i="5"/>
  <c r="DQ92" i="5"/>
  <c r="DR92" i="5"/>
  <c r="DS92" i="5"/>
  <c r="DT92" i="5"/>
  <c r="DU92" i="5"/>
  <c r="DV92" i="5"/>
  <c r="DW92" i="5"/>
  <c r="DX92" i="5"/>
  <c r="DY92" i="5"/>
  <c r="DZ92" i="5"/>
  <c r="EA92" i="5"/>
  <c r="EB92" i="5"/>
  <c r="EC92" i="5"/>
  <c r="ED92" i="5"/>
  <c r="EE92" i="5"/>
  <c r="EF92" i="5"/>
  <c r="EG92" i="5"/>
  <c r="EH92" i="5"/>
  <c r="EI92" i="5"/>
  <c r="EJ92" i="5"/>
  <c r="EK92" i="5"/>
  <c r="EL92" i="5"/>
  <c r="EM92" i="5"/>
  <c r="EN92" i="5"/>
  <c r="EO92" i="5"/>
  <c r="EP92" i="5"/>
  <c r="EQ92" i="5"/>
  <c r="ER92" i="5"/>
  <c r="ES92" i="5"/>
  <c r="ET92" i="5"/>
  <c r="EU92" i="5"/>
  <c r="EV92" i="5"/>
  <c r="EW92" i="5"/>
  <c r="EX92" i="5"/>
  <c r="EY92" i="5"/>
  <c r="EZ92" i="5"/>
  <c r="FA92" i="5"/>
  <c r="FB92" i="5"/>
  <c r="FC92" i="5"/>
  <c r="FD92" i="5"/>
  <c r="FE92" i="5"/>
  <c r="FF92" i="5"/>
  <c r="FG92" i="5"/>
  <c r="FH92" i="5"/>
  <c r="FI92" i="5"/>
  <c r="FJ92" i="5"/>
  <c r="FK92" i="5"/>
  <c r="FL92" i="5"/>
  <c r="FM92" i="5"/>
  <c r="FN92" i="5"/>
  <c r="FO92" i="5"/>
  <c r="FP92" i="5"/>
  <c r="FQ92" i="5"/>
  <c r="FR92" i="5"/>
  <c r="FS92" i="5"/>
  <c r="FT92" i="5"/>
  <c r="FU92" i="5"/>
  <c r="FV92" i="5"/>
  <c r="FW92" i="5"/>
  <c r="FX92" i="5"/>
  <c r="FY92" i="5"/>
  <c r="FZ92" i="5"/>
  <c r="GA92" i="5"/>
  <c r="GB92" i="5"/>
  <c r="GC92" i="5"/>
  <c r="GD92" i="5"/>
  <c r="GE92" i="5"/>
  <c r="GF92" i="5"/>
  <c r="GG92" i="5"/>
  <c r="GH92" i="5"/>
  <c r="GI92" i="5"/>
  <c r="GJ92" i="5"/>
  <c r="GK92" i="5"/>
  <c r="GL92" i="5"/>
  <c r="GM92" i="5"/>
  <c r="GN92" i="5"/>
  <c r="GO92" i="5"/>
  <c r="GP92" i="5"/>
  <c r="GQ92" i="5"/>
  <c r="GR92" i="5"/>
  <c r="GS92" i="5"/>
  <c r="GT92" i="5"/>
  <c r="GU92" i="5"/>
  <c r="GV92" i="5"/>
  <c r="GW92" i="5"/>
  <c r="GX92" i="5"/>
  <c r="GY92" i="5"/>
  <c r="GZ92" i="5"/>
  <c r="HA92" i="5"/>
  <c r="HB92" i="5"/>
  <c r="HC92" i="5"/>
  <c r="HD92" i="5"/>
  <c r="HE92" i="5"/>
  <c r="HF92" i="5"/>
  <c r="HG92" i="5"/>
  <c r="HH92" i="5"/>
  <c r="HI92" i="5"/>
  <c r="HJ92" i="5"/>
  <c r="HK92" i="5"/>
  <c r="HL92" i="5"/>
  <c r="HM92" i="5"/>
  <c r="HN92" i="5"/>
  <c r="HO92" i="5"/>
  <c r="HP92" i="5"/>
  <c r="HQ92" i="5"/>
  <c r="HR92" i="5"/>
  <c r="HS92" i="5"/>
  <c r="HT92" i="5"/>
  <c r="HU92" i="5"/>
  <c r="HV92" i="5"/>
  <c r="HW92" i="5"/>
  <c r="HX92" i="5"/>
  <c r="HY92" i="5"/>
  <c r="HZ92" i="5"/>
  <c r="IA92" i="5"/>
  <c r="IB92" i="5"/>
  <c r="IC92" i="5"/>
  <c r="ID92" i="5"/>
  <c r="IE92" i="5"/>
  <c r="IF92" i="5"/>
  <c r="IG92" i="5"/>
  <c r="IH92" i="5"/>
  <c r="II92" i="5"/>
  <c r="IJ92" i="5"/>
  <c r="IK92" i="5"/>
  <c r="IL92" i="5"/>
  <c r="IM92" i="5"/>
  <c r="IN92" i="5"/>
  <c r="IO92" i="5"/>
  <c r="IP92" i="5"/>
  <c r="IQ92" i="5"/>
  <c r="IR92" i="5"/>
  <c r="IS92" i="5"/>
  <c r="IT92" i="5"/>
  <c r="IU92" i="5"/>
  <c r="IV92" i="5"/>
  <c r="BJ119" i="4"/>
  <c r="BH119" i="4"/>
  <c r="BG119" i="4"/>
  <c r="BF119" i="4"/>
  <c r="BE119" i="4"/>
  <c r="BD119" i="4"/>
  <c r="BC119" i="4"/>
  <c r="BB119" i="4"/>
  <c r="BA119" i="4"/>
  <c r="AZ119" i="4"/>
  <c r="AY119" i="4"/>
  <c r="AX119" i="4"/>
  <c r="AW119" i="4"/>
  <c r="AV119" i="4"/>
  <c r="AU119" i="4"/>
  <c r="AT119" i="4"/>
  <c r="AS119" i="4"/>
  <c r="AR119" i="4"/>
  <c r="AQ119" i="4"/>
  <c r="AP119" i="4"/>
  <c r="AO119" i="4"/>
  <c r="AN119" i="4"/>
  <c r="AL119" i="4"/>
  <c r="AH119" i="4"/>
  <c r="AD119" i="4"/>
  <c r="AA118" i="4"/>
  <c r="U118" i="4"/>
  <c r="S118" i="4"/>
  <c r="M118" i="4"/>
  <c r="K118" i="4"/>
  <c r="AA117" i="4"/>
  <c r="U117" i="4"/>
  <c r="S117" i="4"/>
  <c r="M117" i="4"/>
  <c r="K117" i="4"/>
  <c r="AA116" i="4"/>
  <c r="U116" i="4"/>
  <c r="S116" i="4"/>
  <c r="M116" i="4"/>
  <c r="K116" i="4"/>
  <c r="AA115" i="4"/>
  <c r="U115" i="4"/>
  <c r="S115" i="4"/>
  <c r="M115" i="4"/>
  <c r="K115" i="4"/>
  <c r="AX114" i="4"/>
  <c r="BM28" i="4"/>
  <c r="BM27" i="4"/>
  <c r="BM26" i="4"/>
  <c r="BL29" i="4"/>
  <c r="BK29" i="4"/>
  <c r="BK33" i="4" s="1"/>
  <c r="BJ29" i="4"/>
  <c r="BH29" i="4"/>
  <c r="BG29" i="4"/>
  <c r="BG33" i="4" s="1"/>
  <c r="BF29" i="4"/>
  <c r="BE29" i="4"/>
  <c r="BD29" i="4"/>
  <c r="BC29" i="4"/>
  <c r="BB29" i="4"/>
  <c r="BA29" i="4"/>
  <c r="AZ29" i="4"/>
  <c r="AY29" i="4"/>
  <c r="AW29" i="4"/>
  <c r="AV29" i="4"/>
  <c r="AU29" i="4"/>
  <c r="AT29" i="4"/>
  <c r="AR29" i="4"/>
  <c r="AQ29" i="4"/>
  <c r="AO29" i="4"/>
  <c r="AN29" i="4"/>
  <c r="AN33" i="4" s="1"/>
  <c r="AL29" i="4"/>
  <c r="AL33" i="4" s="1"/>
  <c r="BL33" i="4"/>
  <c r="BJ33" i="4"/>
  <c r="BH33" i="4"/>
  <c r="BF33" i="4"/>
  <c r="BE33" i="4"/>
  <c r="BC33" i="4"/>
  <c r="BB33" i="4"/>
  <c r="BA33" i="4"/>
  <c r="AY33" i="4"/>
  <c r="AU33" i="4"/>
  <c r="AT33" i="4"/>
  <c r="AQ33" i="4"/>
  <c r="AO33" i="4"/>
  <c r="BM17" i="4"/>
  <c r="BG165" i="4"/>
  <c r="BD24" i="4"/>
  <c r="BD25" i="4" s="1"/>
  <c r="BD163" i="4"/>
  <c r="BD165" i="4" s="1"/>
  <c r="BD161" i="4"/>
  <c r="BD156" i="4"/>
  <c r="BD157" i="4" s="1"/>
  <c r="BD135" i="4"/>
  <c r="BD130" i="4"/>
  <c r="BD109" i="4"/>
  <c r="BD113" i="4" s="1"/>
  <c r="BD106" i="4"/>
  <c r="BD96" i="4"/>
  <c r="BD99" i="4" s="1"/>
  <c r="BD86" i="4"/>
  <c r="BD20" i="4"/>
  <c r="BD70" i="4"/>
  <c r="BD79" i="4" s="1"/>
  <c r="BD39" i="4"/>
  <c r="BI176" i="4" l="1"/>
  <c r="BW79" i="4"/>
  <c r="BS119" i="4"/>
  <c r="BW119" i="4"/>
  <c r="BU18" i="4"/>
  <c r="BW17" i="4"/>
  <c r="BU29" i="4"/>
  <c r="BW26" i="4"/>
  <c r="BI14" i="4"/>
  <c r="BS29" i="4"/>
  <c r="BS33" i="4"/>
  <c r="BS79" i="4"/>
  <c r="BI120" i="4"/>
  <c r="BI122" i="4" s="1"/>
  <c r="BD33" i="4"/>
  <c r="BL197" i="4"/>
  <c r="BH197" i="4"/>
  <c r="BJ197" i="4"/>
  <c r="BE197" i="4"/>
  <c r="BF197" i="4"/>
  <c r="BM29" i="4"/>
  <c r="BM119" i="4"/>
  <c r="BD120" i="4"/>
  <c r="BD122" i="4" s="1"/>
  <c r="A91" i="5"/>
  <c r="B91" i="5"/>
  <c r="C91" i="5"/>
  <c r="D91" i="5"/>
  <c r="E91" i="5"/>
  <c r="F91" i="5"/>
  <c r="G91" i="5"/>
  <c r="H91" i="5"/>
  <c r="I91" i="5"/>
  <c r="J91" i="5"/>
  <c r="K91" i="5"/>
  <c r="L91" i="5"/>
  <c r="M91" i="5"/>
  <c r="N91" i="5"/>
  <c r="O91" i="5"/>
  <c r="P91" i="5"/>
  <c r="Q91" i="5"/>
  <c r="R91" i="5"/>
  <c r="S91" i="5"/>
  <c r="T91" i="5"/>
  <c r="U91" i="5"/>
  <c r="V91" i="5"/>
  <c r="W91" i="5"/>
  <c r="X91" i="5"/>
  <c r="Y91" i="5"/>
  <c r="Z91" i="5"/>
  <c r="AA91" i="5"/>
  <c r="AB91" i="5"/>
  <c r="AC91" i="5"/>
  <c r="AD91" i="5"/>
  <c r="AE91" i="5"/>
  <c r="AF91" i="5"/>
  <c r="AG91" i="5"/>
  <c r="AH91" i="5"/>
  <c r="AI91" i="5"/>
  <c r="AJ91" i="5"/>
  <c r="AK91" i="5"/>
  <c r="AL91" i="5"/>
  <c r="AM91" i="5"/>
  <c r="AO91" i="5"/>
  <c r="AP91" i="5"/>
  <c r="AQ91" i="5"/>
  <c r="AR91" i="5"/>
  <c r="AS91" i="5"/>
  <c r="AT91" i="5"/>
  <c r="AU91" i="5"/>
  <c r="AV91" i="5"/>
  <c r="AW91" i="5"/>
  <c r="AX91" i="5"/>
  <c r="AY91" i="5"/>
  <c r="AZ91" i="5"/>
  <c r="BA91" i="5"/>
  <c r="BB91" i="5"/>
  <c r="BC91" i="5"/>
  <c r="BD91" i="5"/>
  <c r="BE91" i="5"/>
  <c r="BF91" i="5"/>
  <c r="BG91" i="5"/>
  <c r="BH91" i="5"/>
  <c r="BI91" i="5"/>
  <c r="BJ91" i="5"/>
  <c r="BK91" i="5"/>
  <c r="BL91" i="5"/>
  <c r="BM91" i="5"/>
  <c r="BN91" i="5"/>
  <c r="BO91" i="5"/>
  <c r="BP91" i="5"/>
  <c r="BQ91" i="5"/>
  <c r="BR91" i="5"/>
  <c r="BS91" i="5"/>
  <c r="BT91" i="5"/>
  <c r="BU91" i="5"/>
  <c r="BV91" i="5"/>
  <c r="BW91" i="5"/>
  <c r="BX91" i="5"/>
  <c r="BY91" i="5"/>
  <c r="BZ91" i="5"/>
  <c r="CA91" i="5"/>
  <c r="CB91" i="5"/>
  <c r="CC91" i="5"/>
  <c r="CD91" i="5"/>
  <c r="CE91" i="5"/>
  <c r="CF91" i="5"/>
  <c r="CG91" i="5"/>
  <c r="CH91" i="5"/>
  <c r="CI91" i="5"/>
  <c r="CJ91" i="5"/>
  <c r="CK91" i="5"/>
  <c r="CL91" i="5"/>
  <c r="CM91" i="5"/>
  <c r="CN91" i="5"/>
  <c r="CO91" i="5"/>
  <c r="CP91" i="5"/>
  <c r="CQ91" i="5"/>
  <c r="CR91" i="5"/>
  <c r="CS91" i="5"/>
  <c r="CT91" i="5"/>
  <c r="CU91" i="5"/>
  <c r="CV91" i="5"/>
  <c r="CW91" i="5"/>
  <c r="CX91" i="5"/>
  <c r="CZ91" i="5"/>
  <c r="DB91" i="5"/>
  <c r="DC91" i="5"/>
  <c r="DD91" i="5"/>
  <c r="DE91" i="5"/>
  <c r="DF91" i="5"/>
  <c r="DH91" i="5"/>
  <c r="DJ91" i="5"/>
  <c r="DK91" i="5"/>
  <c r="DL91" i="5"/>
  <c r="DM91" i="5"/>
  <c r="DN91" i="5"/>
  <c r="DP91" i="5"/>
  <c r="DQ91" i="5"/>
  <c r="DR91" i="5"/>
  <c r="DS91" i="5"/>
  <c r="DT91" i="5"/>
  <c r="DU91" i="5"/>
  <c r="DV91" i="5"/>
  <c r="DW91" i="5"/>
  <c r="DX91" i="5"/>
  <c r="DY91" i="5"/>
  <c r="DZ91" i="5"/>
  <c r="EA91" i="5"/>
  <c r="EB91" i="5"/>
  <c r="EC91" i="5"/>
  <c r="ED91" i="5"/>
  <c r="EE91" i="5"/>
  <c r="EH91" i="5"/>
  <c r="EI91" i="5"/>
  <c r="EJ91" i="5"/>
  <c r="EK91" i="5"/>
  <c r="EL91" i="5"/>
  <c r="EO91" i="5"/>
  <c r="EP91" i="5"/>
  <c r="EQ91" i="5"/>
  <c r="ER91" i="5"/>
  <c r="ES91" i="5"/>
  <c r="ET91" i="5"/>
  <c r="EU91" i="5"/>
  <c r="EV91" i="5"/>
  <c r="EZ91" i="5"/>
  <c r="FA91" i="5"/>
  <c r="A90" i="5"/>
  <c r="B90" i="5"/>
  <c r="C90" i="5"/>
  <c r="D90" i="5"/>
  <c r="E90" i="5"/>
  <c r="F90" i="5"/>
  <c r="G90" i="5"/>
  <c r="H90" i="5"/>
  <c r="I90" i="5"/>
  <c r="J90" i="5"/>
  <c r="K90" i="5"/>
  <c r="L90" i="5"/>
  <c r="M90" i="5"/>
  <c r="N90" i="5"/>
  <c r="O90" i="5"/>
  <c r="P90" i="5"/>
  <c r="Q90" i="5"/>
  <c r="R90" i="5"/>
  <c r="S90" i="5"/>
  <c r="T90" i="5"/>
  <c r="V90" i="5"/>
  <c r="W90" i="5"/>
  <c r="X90" i="5"/>
  <c r="Y90" i="5"/>
  <c r="Z90" i="5"/>
  <c r="AA90" i="5"/>
  <c r="AB90" i="5"/>
  <c r="AC90" i="5"/>
  <c r="AD90" i="5"/>
  <c r="AE90" i="5"/>
  <c r="AF90" i="5"/>
  <c r="AG90" i="5"/>
  <c r="AH90" i="5"/>
  <c r="AI90" i="5"/>
  <c r="AJ90" i="5"/>
  <c r="AK90" i="5"/>
  <c r="AL90" i="5"/>
  <c r="AM90" i="5"/>
  <c r="AN90" i="5"/>
  <c r="AO90" i="5"/>
  <c r="AP90" i="5"/>
  <c r="AQ90" i="5"/>
  <c r="AR90" i="5"/>
  <c r="AS90" i="5"/>
  <c r="AT90" i="5"/>
  <c r="AU90" i="5"/>
  <c r="AV90" i="5"/>
  <c r="AW90" i="5"/>
  <c r="AX90" i="5"/>
  <c r="AY90" i="5"/>
  <c r="AZ90" i="5"/>
  <c r="BA90" i="5"/>
  <c r="BB90" i="5"/>
  <c r="BC90" i="5"/>
  <c r="BD90" i="5"/>
  <c r="BE90" i="5"/>
  <c r="BF90" i="5"/>
  <c r="BG90" i="5"/>
  <c r="BH90" i="5"/>
  <c r="BI90" i="5"/>
  <c r="BJ90" i="5"/>
  <c r="BK90" i="5"/>
  <c r="BL90" i="5"/>
  <c r="BM90" i="5"/>
  <c r="BN90" i="5"/>
  <c r="BO90" i="5"/>
  <c r="BP90" i="5"/>
  <c r="BQ90" i="5"/>
  <c r="BR90" i="5"/>
  <c r="BS90" i="5"/>
  <c r="BT90" i="5"/>
  <c r="BU90" i="5"/>
  <c r="BV90" i="5"/>
  <c r="BW90" i="5"/>
  <c r="BX90" i="5"/>
  <c r="BY90" i="5"/>
  <c r="BZ90" i="5"/>
  <c r="CA90" i="5"/>
  <c r="CB90" i="5"/>
  <c r="CC90" i="5"/>
  <c r="CD90" i="5"/>
  <c r="CE90" i="5"/>
  <c r="CF90" i="5"/>
  <c r="CG90" i="5"/>
  <c r="CH90" i="5"/>
  <c r="CI90" i="5"/>
  <c r="CJ90" i="5"/>
  <c r="CK90" i="5"/>
  <c r="CL90" i="5"/>
  <c r="CM90" i="5"/>
  <c r="CN90" i="5"/>
  <c r="CO90" i="5"/>
  <c r="CP90" i="5"/>
  <c r="CQ90" i="5"/>
  <c r="CR90" i="5"/>
  <c r="CS90" i="5"/>
  <c r="CT90" i="5"/>
  <c r="CU90" i="5"/>
  <c r="CV90" i="5"/>
  <c r="CW90" i="5"/>
  <c r="CX90" i="5"/>
  <c r="CY90" i="5"/>
  <c r="CZ90" i="5"/>
  <c r="DA90" i="5"/>
  <c r="DB90" i="5"/>
  <c r="DC90" i="5"/>
  <c r="DD90" i="5"/>
  <c r="DE90" i="5"/>
  <c r="DF90" i="5"/>
  <c r="DG90" i="5"/>
  <c r="DH90" i="5"/>
  <c r="DI90" i="5"/>
  <c r="DJ90" i="5"/>
  <c r="DK90" i="5"/>
  <c r="DL90" i="5"/>
  <c r="DM90" i="5"/>
  <c r="DN90" i="5"/>
  <c r="DO90" i="5"/>
  <c r="DP90" i="5"/>
  <c r="DQ90" i="5"/>
  <c r="DR90" i="5"/>
  <c r="DS90" i="5"/>
  <c r="DT90" i="5"/>
  <c r="DU90" i="5"/>
  <c r="DV90" i="5"/>
  <c r="DW90" i="5"/>
  <c r="DX90" i="5"/>
  <c r="DY90" i="5"/>
  <c r="DZ90" i="5"/>
  <c r="EA90" i="5"/>
  <c r="EB90" i="5"/>
  <c r="EC90" i="5"/>
  <c r="ED90" i="5"/>
  <c r="EE90" i="5"/>
  <c r="EF90" i="5"/>
  <c r="EG90" i="5"/>
  <c r="EH90" i="5"/>
  <c r="EI90" i="5"/>
  <c r="EJ90" i="5"/>
  <c r="EK90" i="5"/>
  <c r="EL90" i="5"/>
  <c r="EM90" i="5"/>
  <c r="EN90" i="5"/>
  <c r="EO90" i="5"/>
  <c r="EP90" i="5"/>
  <c r="EQ90" i="5"/>
  <c r="ER90" i="5"/>
  <c r="ES90" i="5"/>
  <c r="ET90" i="5"/>
  <c r="EU90" i="5"/>
  <c r="EV90" i="5"/>
  <c r="EW90" i="5"/>
  <c r="EX90" i="5"/>
  <c r="EY90" i="5"/>
  <c r="EZ90" i="5"/>
  <c r="FA90" i="5"/>
  <c r="FB90" i="5"/>
  <c r="FC90" i="5"/>
  <c r="FD90" i="5"/>
  <c r="FE90" i="5"/>
  <c r="FF90" i="5"/>
  <c r="FG90" i="5"/>
  <c r="FH90" i="5"/>
  <c r="FI90" i="5"/>
  <c r="FJ90" i="5"/>
  <c r="FK90" i="5"/>
  <c r="FL90" i="5"/>
  <c r="FM90" i="5"/>
  <c r="FN90" i="5"/>
  <c r="FO90" i="5"/>
  <c r="FP90" i="5"/>
  <c r="FQ90" i="5"/>
  <c r="FR90" i="5"/>
  <c r="FS90" i="5"/>
  <c r="FT90" i="5"/>
  <c r="FU90" i="5"/>
  <c r="FV90" i="5"/>
  <c r="FW90" i="5"/>
  <c r="FX90" i="5"/>
  <c r="FY90" i="5"/>
  <c r="FZ90" i="5"/>
  <c r="GA90" i="5"/>
  <c r="GB90" i="5"/>
  <c r="GC90" i="5"/>
  <c r="GD90" i="5"/>
  <c r="GE90" i="5"/>
  <c r="GF90" i="5"/>
  <c r="GG90" i="5"/>
  <c r="GH90" i="5"/>
  <c r="GI90" i="5"/>
  <c r="GJ90" i="5"/>
  <c r="GK90" i="5"/>
  <c r="GL90" i="5"/>
  <c r="GM90" i="5"/>
  <c r="GN90" i="5"/>
  <c r="GO90" i="5"/>
  <c r="GP90" i="5"/>
  <c r="GQ90" i="5"/>
  <c r="GR90" i="5"/>
  <c r="GS90" i="5"/>
  <c r="GT90" i="5"/>
  <c r="GU90" i="5"/>
  <c r="GV90" i="5"/>
  <c r="GW90" i="5"/>
  <c r="GX90" i="5"/>
  <c r="GY90" i="5"/>
  <c r="GZ90" i="5"/>
  <c r="HA90" i="5"/>
  <c r="HB90" i="5"/>
  <c r="HC90" i="5"/>
  <c r="HD90" i="5"/>
  <c r="HE90" i="5"/>
  <c r="HF90" i="5"/>
  <c r="HG90" i="5"/>
  <c r="HH90" i="5"/>
  <c r="HI90" i="5"/>
  <c r="HJ90" i="5"/>
  <c r="HK90" i="5"/>
  <c r="HL90" i="5"/>
  <c r="HM90" i="5"/>
  <c r="HN90" i="5"/>
  <c r="HO90" i="5"/>
  <c r="HP90" i="5"/>
  <c r="HQ90" i="5"/>
  <c r="HR90" i="5"/>
  <c r="HS90" i="5"/>
  <c r="HT90" i="5"/>
  <c r="HU90" i="5"/>
  <c r="HV90" i="5"/>
  <c r="HW90" i="5"/>
  <c r="HX90" i="5"/>
  <c r="HY90" i="5"/>
  <c r="HZ90" i="5"/>
  <c r="IA90" i="5"/>
  <c r="IB90" i="5"/>
  <c r="IC90" i="5"/>
  <c r="ID90" i="5"/>
  <c r="IE90" i="5"/>
  <c r="IF90" i="5"/>
  <c r="IG90" i="5"/>
  <c r="IH90" i="5"/>
  <c r="II90" i="5"/>
  <c r="IJ90" i="5"/>
  <c r="IK90" i="5"/>
  <c r="IL90" i="5"/>
  <c r="IM90" i="5"/>
  <c r="IN90" i="5"/>
  <c r="IO90" i="5"/>
  <c r="IP90" i="5"/>
  <c r="IQ90" i="5"/>
  <c r="IR90" i="5"/>
  <c r="IS90" i="5"/>
  <c r="IT90" i="5"/>
  <c r="IU90" i="5"/>
  <c r="IV90" i="5"/>
  <c r="A89" i="5"/>
  <c r="B89" i="5"/>
  <c r="C89" i="5"/>
  <c r="D89" i="5"/>
  <c r="E89" i="5"/>
  <c r="F89" i="5"/>
  <c r="G89" i="5"/>
  <c r="H89" i="5"/>
  <c r="I89" i="5"/>
  <c r="J89" i="5"/>
  <c r="K89" i="5"/>
  <c r="L89" i="5"/>
  <c r="M89" i="5"/>
  <c r="N89" i="5"/>
  <c r="O89" i="5"/>
  <c r="P89" i="5"/>
  <c r="Q89" i="5"/>
  <c r="R89" i="5"/>
  <c r="S89" i="5"/>
  <c r="T89" i="5"/>
  <c r="U89" i="5"/>
  <c r="V89" i="5"/>
  <c r="W89" i="5"/>
  <c r="X89" i="5"/>
  <c r="Y89" i="5"/>
  <c r="Z89" i="5"/>
  <c r="AA89" i="5"/>
  <c r="AB89" i="5"/>
  <c r="AC89" i="5"/>
  <c r="AD89" i="5"/>
  <c r="AE89" i="5"/>
  <c r="AF89" i="5"/>
  <c r="AG89" i="5"/>
  <c r="AH89" i="5"/>
  <c r="AI89" i="5"/>
  <c r="AJ89" i="5"/>
  <c r="AK89" i="5"/>
  <c r="AL89" i="5"/>
  <c r="AM89" i="5"/>
  <c r="AN89" i="5"/>
  <c r="AO89" i="5"/>
  <c r="AP89" i="5"/>
  <c r="AQ89" i="5"/>
  <c r="AR89" i="5"/>
  <c r="AS89" i="5"/>
  <c r="AT89" i="5"/>
  <c r="AU89" i="5"/>
  <c r="AV89" i="5"/>
  <c r="AW89" i="5"/>
  <c r="AX89" i="5"/>
  <c r="AY89" i="5"/>
  <c r="AZ89" i="5"/>
  <c r="BA89" i="5"/>
  <c r="BB89" i="5"/>
  <c r="BC89" i="5"/>
  <c r="BD89" i="5"/>
  <c r="BE89" i="5"/>
  <c r="BF89" i="5"/>
  <c r="BG89" i="5"/>
  <c r="BH89" i="5"/>
  <c r="BI89" i="5"/>
  <c r="BJ89" i="5"/>
  <c r="BK89" i="5"/>
  <c r="BL89" i="5"/>
  <c r="BM89" i="5"/>
  <c r="BN89" i="5"/>
  <c r="BO89" i="5"/>
  <c r="BP89" i="5"/>
  <c r="BQ89" i="5"/>
  <c r="BR89" i="5"/>
  <c r="BS89" i="5"/>
  <c r="BT89" i="5"/>
  <c r="BU89" i="5"/>
  <c r="BV89" i="5"/>
  <c r="BW89" i="5"/>
  <c r="BX89" i="5"/>
  <c r="BY89" i="5"/>
  <c r="BZ89" i="5"/>
  <c r="CA89" i="5"/>
  <c r="CB89" i="5"/>
  <c r="CC89" i="5"/>
  <c r="CD89" i="5"/>
  <c r="CE89" i="5"/>
  <c r="CF89" i="5"/>
  <c r="CG89" i="5"/>
  <c r="CH89" i="5"/>
  <c r="CI89" i="5"/>
  <c r="CJ89" i="5"/>
  <c r="CK89" i="5"/>
  <c r="CL89" i="5"/>
  <c r="CM89" i="5"/>
  <c r="CN89" i="5"/>
  <c r="CO89" i="5"/>
  <c r="CP89" i="5"/>
  <c r="CQ89" i="5"/>
  <c r="CR89" i="5"/>
  <c r="CS89" i="5"/>
  <c r="CT89" i="5"/>
  <c r="CU89" i="5"/>
  <c r="CV89" i="5"/>
  <c r="CW89" i="5"/>
  <c r="CX89" i="5"/>
  <c r="CY89" i="5"/>
  <c r="CZ89" i="5"/>
  <c r="DA89" i="5"/>
  <c r="DB89" i="5"/>
  <c r="DC89" i="5"/>
  <c r="DD89" i="5"/>
  <c r="DE89" i="5"/>
  <c r="DF89" i="5"/>
  <c r="DG89" i="5"/>
  <c r="DH89" i="5"/>
  <c r="DI89" i="5"/>
  <c r="DJ89" i="5"/>
  <c r="DK89" i="5"/>
  <c r="DL89" i="5"/>
  <c r="DM89" i="5"/>
  <c r="DN89" i="5"/>
  <c r="DO89" i="5"/>
  <c r="DP89" i="5"/>
  <c r="DQ89" i="5"/>
  <c r="DR89" i="5"/>
  <c r="DS89" i="5"/>
  <c r="DT89" i="5"/>
  <c r="DU89" i="5"/>
  <c r="DV89" i="5"/>
  <c r="DW89" i="5"/>
  <c r="DX89" i="5"/>
  <c r="DY89" i="5"/>
  <c r="DZ89" i="5"/>
  <c r="EA89" i="5"/>
  <c r="EB89" i="5"/>
  <c r="EC89" i="5"/>
  <c r="ED89" i="5"/>
  <c r="EE89" i="5"/>
  <c r="EF89" i="5"/>
  <c r="EG89" i="5"/>
  <c r="EH89" i="5"/>
  <c r="EI89" i="5"/>
  <c r="EJ89" i="5"/>
  <c r="EK89" i="5"/>
  <c r="EL89" i="5"/>
  <c r="EM89" i="5"/>
  <c r="EN89" i="5"/>
  <c r="EO89" i="5"/>
  <c r="EP89" i="5"/>
  <c r="EQ89" i="5"/>
  <c r="ER89" i="5"/>
  <c r="ES89" i="5"/>
  <c r="ET89" i="5"/>
  <c r="EU89" i="5"/>
  <c r="EV89" i="5"/>
  <c r="EW89" i="5"/>
  <c r="EX89" i="5"/>
  <c r="EY89" i="5"/>
  <c r="EZ89" i="5"/>
  <c r="FA89" i="5"/>
  <c r="FB89" i="5"/>
  <c r="FC89" i="5"/>
  <c r="FD89" i="5"/>
  <c r="FE89" i="5"/>
  <c r="FF89" i="5"/>
  <c r="FG89" i="5"/>
  <c r="FH89" i="5"/>
  <c r="FI89" i="5"/>
  <c r="FJ89" i="5"/>
  <c r="FK89" i="5"/>
  <c r="FL89" i="5"/>
  <c r="FM89" i="5"/>
  <c r="FN89" i="5"/>
  <c r="FO89" i="5"/>
  <c r="FP89" i="5"/>
  <c r="FQ89" i="5"/>
  <c r="FR89" i="5"/>
  <c r="FS89" i="5"/>
  <c r="FT89" i="5"/>
  <c r="FU89" i="5"/>
  <c r="FV89" i="5"/>
  <c r="FW89" i="5"/>
  <c r="FX89" i="5"/>
  <c r="FY89" i="5"/>
  <c r="FZ89" i="5"/>
  <c r="GA89" i="5"/>
  <c r="GB89" i="5"/>
  <c r="GC89" i="5"/>
  <c r="GD89" i="5"/>
  <c r="GE89" i="5"/>
  <c r="GF89" i="5"/>
  <c r="GG89" i="5"/>
  <c r="GH89" i="5"/>
  <c r="GI89" i="5"/>
  <c r="GJ89" i="5"/>
  <c r="GK89" i="5"/>
  <c r="GL89" i="5"/>
  <c r="GM89" i="5"/>
  <c r="GN89" i="5"/>
  <c r="GO89" i="5"/>
  <c r="GP89" i="5"/>
  <c r="GQ89" i="5"/>
  <c r="GR89" i="5"/>
  <c r="GS89" i="5"/>
  <c r="GT89" i="5"/>
  <c r="GU89" i="5"/>
  <c r="GV89" i="5"/>
  <c r="GW89" i="5"/>
  <c r="GX89" i="5"/>
  <c r="GY89" i="5"/>
  <c r="GZ89" i="5"/>
  <c r="HA89" i="5"/>
  <c r="HB89" i="5"/>
  <c r="HC89" i="5"/>
  <c r="HD89" i="5"/>
  <c r="HE89" i="5"/>
  <c r="HF89" i="5"/>
  <c r="HG89" i="5"/>
  <c r="HH89" i="5"/>
  <c r="HI89" i="5"/>
  <c r="HJ89" i="5"/>
  <c r="HK89" i="5"/>
  <c r="HL89" i="5"/>
  <c r="HM89" i="5"/>
  <c r="HN89" i="5"/>
  <c r="HO89" i="5"/>
  <c r="HP89" i="5"/>
  <c r="HQ89" i="5"/>
  <c r="HR89" i="5"/>
  <c r="HS89" i="5"/>
  <c r="HT89" i="5"/>
  <c r="HU89" i="5"/>
  <c r="HV89" i="5"/>
  <c r="HW89" i="5"/>
  <c r="HX89" i="5"/>
  <c r="HY89" i="5"/>
  <c r="HZ89" i="5"/>
  <c r="IA89" i="5"/>
  <c r="IB89" i="5"/>
  <c r="IC89" i="5"/>
  <c r="ID89" i="5"/>
  <c r="IE89" i="5"/>
  <c r="IF89" i="5"/>
  <c r="IG89" i="5"/>
  <c r="IH89" i="5"/>
  <c r="II89" i="5"/>
  <c r="IJ89" i="5"/>
  <c r="IK89" i="5"/>
  <c r="IL89" i="5"/>
  <c r="IM89" i="5"/>
  <c r="IN89" i="5"/>
  <c r="IO89" i="5"/>
  <c r="IP89" i="5"/>
  <c r="IQ89" i="5"/>
  <c r="IR89" i="5"/>
  <c r="IS89" i="5"/>
  <c r="IT89" i="5"/>
  <c r="IU89" i="5"/>
  <c r="IV89" i="5"/>
  <c r="A88" i="5"/>
  <c r="B88" i="5"/>
  <c r="C88" i="5"/>
  <c r="D88" i="5"/>
  <c r="E88" i="5"/>
  <c r="F88" i="5"/>
  <c r="G88" i="5"/>
  <c r="H88" i="5"/>
  <c r="I88" i="5"/>
  <c r="J88" i="5"/>
  <c r="K88" i="5"/>
  <c r="L88" i="5"/>
  <c r="M88" i="5"/>
  <c r="N88" i="5"/>
  <c r="O88" i="5"/>
  <c r="P88" i="5"/>
  <c r="Q88" i="5"/>
  <c r="R88" i="5"/>
  <c r="S88" i="5"/>
  <c r="T88" i="5"/>
  <c r="U88" i="5"/>
  <c r="V88" i="5"/>
  <c r="W88" i="5"/>
  <c r="X88" i="5"/>
  <c r="Y88" i="5"/>
  <c r="Z88" i="5"/>
  <c r="AA88" i="5"/>
  <c r="AB88" i="5"/>
  <c r="AC88" i="5"/>
  <c r="AD88" i="5"/>
  <c r="AE88" i="5"/>
  <c r="AF88" i="5"/>
  <c r="AG88" i="5"/>
  <c r="AH88" i="5"/>
  <c r="AI88" i="5"/>
  <c r="AJ88" i="5"/>
  <c r="AK88" i="5"/>
  <c r="AL88" i="5"/>
  <c r="AM88" i="5"/>
  <c r="AN88" i="5"/>
  <c r="AO88" i="5"/>
  <c r="AP88" i="5"/>
  <c r="AQ88" i="5"/>
  <c r="AR88" i="5"/>
  <c r="AS88" i="5"/>
  <c r="AT88" i="5"/>
  <c r="AU88" i="5"/>
  <c r="AV88" i="5"/>
  <c r="AW88" i="5"/>
  <c r="AX88" i="5"/>
  <c r="AY88" i="5"/>
  <c r="AZ88" i="5"/>
  <c r="BA88" i="5"/>
  <c r="BB88" i="5"/>
  <c r="BC88" i="5"/>
  <c r="BD88" i="5"/>
  <c r="BE88" i="5"/>
  <c r="BF88" i="5"/>
  <c r="BG88" i="5"/>
  <c r="BH88" i="5"/>
  <c r="BI88" i="5"/>
  <c r="BJ88" i="5"/>
  <c r="BK88" i="5"/>
  <c r="BL88" i="5"/>
  <c r="BM88" i="5"/>
  <c r="BN88" i="5"/>
  <c r="BO88" i="5"/>
  <c r="BP88" i="5"/>
  <c r="BQ88" i="5"/>
  <c r="BR88" i="5"/>
  <c r="BS88" i="5"/>
  <c r="BT88" i="5"/>
  <c r="BU88" i="5"/>
  <c r="BV88" i="5"/>
  <c r="BW88" i="5"/>
  <c r="BX88" i="5"/>
  <c r="BY88" i="5"/>
  <c r="BZ88" i="5"/>
  <c r="CA88" i="5"/>
  <c r="CB88" i="5"/>
  <c r="CC88" i="5"/>
  <c r="CD88" i="5"/>
  <c r="CE88" i="5"/>
  <c r="CF88" i="5"/>
  <c r="CG88" i="5"/>
  <c r="CH88" i="5"/>
  <c r="CI88" i="5"/>
  <c r="CJ88" i="5"/>
  <c r="CK88" i="5"/>
  <c r="CL88" i="5"/>
  <c r="CM88" i="5"/>
  <c r="CN88" i="5"/>
  <c r="CO88" i="5"/>
  <c r="CP88" i="5"/>
  <c r="CQ88" i="5"/>
  <c r="CR88" i="5"/>
  <c r="CS88" i="5"/>
  <c r="CT88" i="5"/>
  <c r="CU88" i="5"/>
  <c r="CV88" i="5"/>
  <c r="CW88" i="5"/>
  <c r="CX88" i="5"/>
  <c r="CY88" i="5"/>
  <c r="CZ88" i="5"/>
  <c r="DA88" i="5"/>
  <c r="DB88" i="5"/>
  <c r="DC88" i="5"/>
  <c r="DD88" i="5"/>
  <c r="DE88" i="5"/>
  <c r="DF88" i="5"/>
  <c r="DG88" i="5"/>
  <c r="DH88" i="5"/>
  <c r="DI88" i="5"/>
  <c r="DJ88" i="5"/>
  <c r="DK88" i="5"/>
  <c r="DL88" i="5"/>
  <c r="DM88" i="5"/>
  <c r="DN88" i="5"/>
  <c r="DO88" i="5"/>
  <c r="DP88" i="5"/>
  <c r="DQ88" i="5"/>
  <c r="DR88" i="5"/>
  <c r="DS88" i="5"/>
  <c r="DT88" i="5"/>
  <c r="DU88" i="5"/>
  <c r="DV88" i="5"/>
  <c r="DW88" i="5"/>
  <c r="DX88" i="5"/>
  <c r="DY88" i="5"/>
  <c r="DZ88" i="5"/>
  <c r="EA88" i="5"/>
  <c r="EB88" i="5"/>
  <c r="EC88" i="5"/>
  <c r="ED88" i="5"/>
  <c r="EE88" i="5"/>
  <c r="EF88" i="5"/>
  <c r="EG88" i="5"/>
  <c r="EH88" i="5"/>
  <c r="EI88" i="5"/>
  <c r="EJ88" i="5"/>
  <c r="EK88" i="5"/>
  <c r="EL88" i="5"/>
  <c r="EM88" i="5"/>
  <c r="EN88" i="5"/>
  <c r="EO88" i="5"/>
  <c r="EP88" i="5"/>
  <c r="EQ88" i="5"/>
  <c r="ER88" i="5"/>
  <c r="ES88" i="5"/>
  <c r="ET88" i="5"/>
  <c r="EU88" i="5"/>
  <c r="EV88" i="5"/>
  <c r="EW88" i="5"/>
  <c r="EX88" i="5"/>
  <c r="EY88" i="5"/>
  <c r="EZ88" i="5"/>
  <c r="FA88" i="5"/>
  <c r="FB88" i="5"/>
  <c r="FC88" i="5"/>
  <c r="FD88" i="5"/>
  <c r="FE88" i="5"/>
  <c r="FF88" i="5"/>
  <c r="FG88" i="5"/>
  <c r="FH88" i="5"/>
  <c r="FI88" i="5"/>
  <c r="FJ88" i="5"/>
  <c r="FK88" i="5"/>
  <c r="FL88" i="5"/>
  <c r="FM88" i="5"/>
  <c r="FN88" i="5"/>
  <c r="FO88" i="5"/>
  <c r="FP88" i="5"/>
  <c r="FQ88" i="5"/>
  <c r="FR88" i="5"/>
  <c r="FS88" i="5"/>
  <c r="FT88" i="5"/>
  <c r="FU88" i="5"/>
  <c r="FV88" i="5"/>
  <c r="FW88" i="5"/>
  <c r="FX88" i="5"/>
  <c r="FY88" i="5"/>
  <c r="FZ88" i="5"/>
  <c r="GA88" i="5"/>
  <c r="GB88" i="5"/>
  <c r="GC88" i="5"/>
  <c r="GD88" i="5"/>
  <c r="GE88" i="5"/>
  <c r="GF88" i="5"/>
  <c r="GG88" i="5"/>
  <c r="GH88" i="5"/>
  <c r="GI88" i="5"/>
  <c r="GJ88" i="5"/>
  <c r="GK88" i="5"/>
  <c r="GL88" i="5"/>
  <c r="GM88" i="5"/>
  <c r="GN88" i="5"/>
  <c r="GO88" i="5"/>
  <c r="GP88" i="5"/>
  <c r="GQ88" i="5"/>
  <c r="GR88" i="5"/>
  <c r="GS88" i="5"/>
  <c r="GT88" i="5"/>
  <c r="GU88" i="5"/>
  <c r="GV88" i="5"/>
  <c r="GW88" i="5"/>
  <c r="GX88" i="5"/>
  <c r="GY88" i="5"/>
  <c r="GZ88" i="5"/>
  <c r="HA88" i="5"/>
  <c r="HB88" i="5"/>
  <c r="HC88" i="5"/>
  <c r="HD88" i="5"/>
  <c r="HE88" i="5"/>
  <c r="HF88" i="5"/>
  <c r="HG88" i="5"/>
  <c r="HH88" i="5"/>
  <c r="HI88" i="5"/>
  <c r="HJ88" i="5"/>
  <c r="HK88" i="5"/>
  <c r="HL88" i="5"/>
  <c r="HM88" i="5"/>
  <c r="HN88" i="5"/>
  <c r="HO88" i="5"/>
  <c r="HP88" i="5"/>
  <c r="HQ88" i="5"/>
  <c r="HR88" i="5"/>
  <c r="HS88" i="5"/>
  <c r="HT88" i="5"/>
  <c r="HU88" i="5"/>
  <c r="HV88" i="5"/>
  <c r="HW88" i="5"/>
  <c r="HX88" i="5"/>
  <c r="HY88" i="5"/>
  <c r="HZ88" i="5"/>
  <c r="IA88" i="5"/>
  <c r="IB88" i="5"/>
  <c r="IC88" i="5"/>
  <c r="ID88" i="5"/>
  <c r="IE88" i="5"/>
  <c r="IF88" i="5"/>
  <c r="IG88" i="5"/>
  <c r="IH88" i="5"/>
  <c r="II88" i="5"/>
  <c r="IJ88" i="5"/>
  <c r="IK88" i="5"/>
  <c r="IL88" i="5"/>
  <c r="IM88" i="5"/>
  <c r="IN88" i="5"/>
  <c r="IO88" i="5"/>
  <c r="IP88" i="5"/>
  <c r="IQ88" i="5"/>
  <c r="IR88" i="5"/>
  <c r="IS88" i="5"/>
  <c r="IT88" i="5"/>
  <c r="IU88" i="5"/>
  <c r="IV88" i="5"/>
  <c r="A87" i="5"/>
  <c r="B87" i="5"/>
  <c r="C87" i="5"/>
  <c r="D87" i="5"/>
  <c r="E87" i="5"/>
  <c r="F87" i="5"/>
  <c r="G87" i="5"/>
  <c r="H87" i="5"/>
  <c r="I87" i="5"/>
  <c r="J87" i="5"/>
  <c r="K87" i="5"/>
  <c r="L87" i="5"/>
  <c r="M87" i="5"/>
  <c r="N87" i="5"/>
  <c r="O87" i="5"/>
  <c r="P87" i="5"/>
  <c r="Q87" i="5"/>
  <c r="R87" i="5"/>
  <c r="T87" i="5"/>
  <c r="U87" i="5"/>
  <c r="V87" i="5"/>
  <c r="W87" i="5"/>
  <c r="X87" i="5"/>
  <c r="Y87" i="5"/>
  <c r="Z87" i="5"/>
  <c r="AA87" i="5"/>
  <c r="AB87" i="5"/>
  <c r="AC87" i="5"/>
  <c r="AD87" i="5"/>
  <c r="AE87" i="5"/>
  <c r="AF87" i="5"/>
  <c r="AG87" i="5"/>
  <c r="AH87" i="5"/>
  <c r="AI87" i="5"/>
  <c r="AJ87" i="5"/>
  <c r="AK87" i="5"/>
  <c r="AL87" i="5"/>
  <c r="AM87" i="5"/>
  <c r="AN87" i="5"/>
  <c r="AO87" i="5"/>
  <c r="AP87" i="5"/>
  <c r="AQ87" i="5"/>
  <c r="AR87" i="5"/>
  <c r="AS87" i="5"/>
  <c r="AT87" i="5"/>
  <c r="AU87" i="5"/>
  <c r="AV87" i="5"/>
  <c r="AW87" i="5"/>
  <c r="AX87" i="5"/>
  <c r="AY87" i="5"/>
  <c r="AZ87" i="5"/>
  <c r="BA87" i="5"/>
  <c r="BB87" i="5"/>
  <c r="BC87" i="5"/>
  <c r="BD87" i="5"/>
  <c r="BE87" i="5"/>
  <c r="BF87" i="5"/>
  <c r="BG87" i="5"/>
  <c r="BH87" i="5"/>
  <c r="BI87" i="5"/>
  <c r="BJ87" i="5"/>
  <c r="BK87" i="5"/>
  <c r="BL87" i="5"/>
  <c r="BM87" i="5"/>
  <c r="BN87" i="5"/>
  <c r="BO87" i="5"/>
  <c r="BP87" i="5"/>
  <c r="BQ87" i="5"/>
  <c r="BR87" i="5"/>
  <c r="BS87" i="5"/>
  <c r="BT87" i="5"/>
  <c r="BU87" i="5"/>
  <c r="BV87" i="5"/>
  <c r="BW87" i="5"/>
  <c r="BX87" i="5"/>
  <c r="BY87" i="5"/>
  <c r="BZ87" i="5"/>
  <c r="CA87" i="5"/>
  <c r="CB87" i="5"/>
  <c r="CC87" i="5"/>
  <c r="CD87" i="5"/>
  <c r="CE87" i="5"/>
  <c r="CF87" i="5"/>
  <c r="CG87" i="5"/>
  <c r="CH87" i="5"/>
  <c r="CI87" i="5"/>
  <c r="CJ87" i="5"/>
  <c r="CK87" i="5"/>
  <c r="CL87" i="5"/>
  <c r="CM87" i="5"/>
  <c r="CN87" i="5"/>
  <c r="CO87" i="5"/>
  <c r="CP87" i="5"/>
  <c r="CQ87" i="5"/>
  <c r="CR87" i="5"/>
  <c r="CS87" i="5"/>
  <c r="CT87" i="5"/>
  <c r="CU87" i="5"/>
  <c r="CV87" i="5"/>
  <c r="CW87" i="5"/>
  <c r="CX87" i="5"/>
  <c r="CY87" i="5"/>
  <c r="CZ87" i="5"/>
  <c r="DA87" i="5"/>
  <c r="DB87" i="5"/>
  <c r="DC87" i="5"/>
  <c r="DD87" i="5"/>
  <c r="DE87" i="5"/>
  <c r="DF87" i="5"/>
  <c r="DG87" i="5"/>
  <c r="DH87" i="5"/>
  <c r="DI87" i="5"/>
  <c r="DJ87" i="5"/>
  <c r="DK87" i="5"/>
  <c r="DL87" i="5"/>
  <c r="DM87" i="5"/>
  <c r="DN87" i="5"/>
  <c r="DO87" i="5"/>
  <c r="DP87" i="5"/>
  <c r="DQ87" i="5"/>
  <c r="DR87" i="5"/>
  <c r="DS87" i="5"/>
  <c r="DT87" i="5"/>
  <c r="DU87" i="5"/>
  <c r="DV87" i="5"/>
  <c r="DW87" i="5"/>
  <c r="DX87" i="5"/>
  <c r="DY87" i="5"/>
  <c r="DZ87" i="5"/>
  <c r="EA87" i="5"/>
  <c r="EB87" i="5"/>
  <c r="EC87" i="5"/>
  <c r="ED87" i="5"/>
  <c r="EE87" i="5"/>
  <c r="EF87" i="5"/>
  <c r="EG87" i="5"/>
  <c r="EH87" i="5"/>
  <c r="EI87" i="5"/>
  <c r="EJ87" i="5"/>
  <c r="EK87" i="5"/>
  <c r="EL87" i="5"/>
  <c r="EM87" i="5"/>
  <c r="EN87" i="5"/>
  <c r="EO87" i="5"/>
  <c r="EP87" i="5"/>
  <c r="EQ87" i="5"/>
  <c r="ER87" i="5"/>
  <c r="ES87" i="5"/>
  <c r="ET87" i="5"/>
  <c r="EU87" i="5"/>
  <c r="EV87" i="5"/>
  <c r="EW87" i="5"/>
  <c r="EX87" i="5"/>
  <c r="EY87" i="5"/>
  <c r="EZ87" i="5"/>
  <c r="FA87" i="5"/>
  <c r="FB87" i="5"/>
  <c r="FC87" i="5"/>
  <c r="FD87" i="5"/>
  <c r="FE87" i="5"/>
  <c r="FF87" i="5"/>
  <c r="FG87" i="5"/>
  <c r="FH87" i="5"/>
  <c r="FI87" i="5"/>
  <c r="FJ87" i="5"/>
  <c r="FK87" i="5"/>
  <c r="FL87" i="5"/>
  <c r="FM87" i="5"/>
  <c r="FN87" i="5"/>
  <c r="FO87" i="5"/>
  <c r="FP87" i="5"/>
  <c r="FQ87" i="5"/>
  <c r="FR87" i="5"/>
  <c r="FS87" i="5"/>
  <c r="FT87" i="5"/>
  <c r="FU87" i="5"/>
  <c r="FV87" i="5"/>
  <c r="FW87" i="5"/>
  <c r="FX87" i="5"/>
  <c r="FY87" i="5"/>
  <c r="FZ87" i="5"/>
  <c r="GA87" i="5"/>
  <c r="GB87" i="5"/>
  <c r="GC87" i="5"/>
  <c r="GD87" i="5"/>
  <c r="GE87" i="5"/>
  <c r="GF87" i="5"/>
  <c r="GG87" i="5"/>
  <c r="GH87" i="5"/>
  <c r="GI87" i="5"/>
  <c r="GJ87" i="5"/>
  <c r="GK87" i="5"/>
  <c r="GL87" i="5"/>
  <c r="GM87" i="5"/>
  <c r="GN87" i="5"/>
  <c r="GO87" i="5"/>
  <c r="GP87" i="5"/>
  <c r="GQ87" i="5"/>
  <c r="GR87" i="5"/>
  <c r="GS87" i="5"/>
  <c r="GT87" i="5"/>
  <c r="GU87" i="5"/>
  <c r="GV87" i="5"/>
  <c r="GW87" i="5"/>
  <c r="GX87" i="5"/>
  <c r="GY87" i="5"/>
  <c r="GZ87" i="5"/>
  <c r="HA87" i="5"/>
  <c r="HB87" i="5"/>
  <c r="HC87" i="5"/>
  <c r="HD87" i="5"/>
  <c r="HE87" i="5"/>
  <c r="HF87" i="5"/>
  <c r="HG87" i="5"/>
  <c r="HH87" i="5"/>
  <c r="HI87" i="5"/>
  <c r="HJ87" i="5"/>
  <c r="HK87" i="5"/>
  <c r="HL87" i="5"/>
  <c r="HM87" i="5"/>
  <c r="HN87" i="5"/>
  <c r="HO87" i="5"/>
  <c r="HP87" i="5"/>
  <c r="HQ87" i="5"/>
  <c r="HR87" i="5"/>
  <c r="HS87" i="5"/>
  <c r="HT87" i="5"/>
  <c r="HU87" i="5"/>
  <c r="HV87" i="5"/>
  <c r="HW87" i="5"/>
  <c r="HX87" i="5"/>
  <c r="HY87" i="5"/>
  <c r="HZ87" i="5"/>
  <c r="IA87" i="5"/>
  <c r="IB87" i="5"/>
  <c r="IC87" i="5"/>
  <c r="ID87" i="5"/>
  <c r="IE87" i="5"/>
  <c r="IF87" i="5"/>
  <c r="IG87" i="5"/>
  <c r="IH87" i="5"/>
  <c r="II87" i="5"/>
  <c r="IJ87" i="5"/>
  <c r="IK87" i="5"/>
  <c r="IL87" i="5"/>
  <c r="IM87" i="5"/>
  <c r="IN87" i="5"/>
  <c r="IO87" i="5"/>
  <c r="IP87" i="5"/>
  <c r="IQ87" i="5"/>
  <c r="IR87" i="5"/>
  <c r="IS87" i="5"/>
  <c r="IT87" i="5"/>
  <c r="IU87" i="5"/>
  <c r="IV87" i="5"/>
  <c r="A86" i="5"/>
  <c r="B86" i="5"/>
  <c r="C86" i="5"/>
  <c r="D86" i="5"/>
  <c r="E86" i="5"/>
  <c r="F86" i="5"/>
  <c r="G86" i="5"/>
  <c r="H86" i="5"/>
  <c r="I86" i="5"/>
  <c r="J86" i="5"/>
  <c r="K86" i="5"/>
  <c r="L86" i="5"/>
  <c r="M86" i="5"/>
  <c r="N86" i="5"/>
  <c r="O86" i="5"/>
  <c r="P86" i="5"/>
  <c r="Q86" i="5"/>
  <c r="R86" i="5"/>
  <c r="S86" i="5"/>
  <c r="T86" i="5"/>
  <c r="U86" i="5"/>
  <c r="V86" i="5"/>
  <c r="W86" i="5"/>
  <c r="X86" i="5"/>
  <c r="Y86" i="5"/>
  <c r="Z86" i="5"/>
  <c r="AA86" i="5"/>
  <c r="AB86" i="5"/>
  <c r="AC86" i="5"/>
  <c r="AD86" i="5"/>
  <c r="AE86" i="5"/>
  <c r="AF86" i="5"/>
  <c r="AG86" i="5"/>
  <c r="AH86" i="5"/>
  <c r="AI86" i="5"/>
  <c r="AJ86" i="5"/>
  <c r="AK86" i="5"/>
  <c r="AL86" i="5"/>
  <c r="AM86" i="5"/>
  <c r="AN86" i="5"/>
  <c r="AO86" i="5"/>
  <c r="AP86" i="5"/>
  <c r="AQ86" i="5"/>
  <c r="AR86" i="5"/>
  <c r="AS86" i="5"/>
  <c r="AT86" i="5"/>
  <c r="AU86" i="5"/>
  <c r="AV86" i="5"/>
  <c r="AW86" i="5"/>
  <c r="AX86" i="5"/>
  <c r="AY86" i="5"/>
  <c r="AZ86" i="5"/>
  <c r="BA86" i="5"/>
  <c r="BB86" i="5"/>
  <c r="BC86" i="5"/>
  <c r="BD86" i="5"/>
  <c r="BE86" i="5"/>
  <c r="BF86" i="5"/>
  <c r="BG86" i="5"/>
  <c r="BH86" i="5"/>
  <c r="BI86" i="5"/>
  <c r="BJ86" i="5"/>
  <c r="BK86" i="5"/>
  <c r="BL86" i="5"/>
  <c r="BM86" i="5"/>
  <c r="BN86" i="5"/>
  <c r="BO86" i="5"/>
  <c r="BP86" i="5"/>
  <c r="BQ86" i="5"/>
  <c r="BR86" i="5"/>
  <c r="BS86" i="5"/>
  <c r="BT86" i="5"/>
  <c r="BU86" i="5"/>
  <c r="BV86" i="5"/>
  <c r="BW86" i="5"/>
  <c r="BX86" i="5"/>
  <c r="BY86" i="5"/>
  <c r="BZ86" i="5"/>
  <c r="CA86" i="5"/>
  <c r="CB86" i="5"/>
  <c r="CC86" i="5"/>
  <c r="CD86" i="5"/>
  <c r="CE86" i="5"/>
  <c r="CF86" i="5"/>
  <c r="CG86" i="5"/>
  <c r="CH86" i="5"/>
  <c r="CI86" i="5"/>
  <c r="CJ86" i="5"/>
  <c r="CK86" i="5"/>
  <c r="CL86" i="5"/>
  <c r="CM86" i="5"/>
  <c r="CN86" i="5"/>
  <c r="CO86" i="5"/>
  <c r="CP86" i="5"/>
  <c r="CQ86" i="5"/>
  <c r="CR86" i="5"/>
  <c r="CS86" i="5"/>
  <c r="CT86" i="5"/>
  <c r="CU86" i="5"/>
  <c r="CV86" i="5"/>
  <c r="CW86" i="5"/>
  <c r="CX86" i="5"/>
  <c r="CY86" i="5"/>
  <c r="CZ86" i="5"/>
  <c r="DA86" i="5"/>
  <c r="DB86" i="5"/>
  <c r="DC86" i="5"/>
  <c r="DD86" i="5"/>
  <c r="DE86" i="5"/>
  <c r="DF86" i="5"/>
  <c r="DG86" i="5"/>
  <c r="DH86" i="5"/>
  <c r="DI86" i="5"/>
  <c r="DJ86" i="5"/>
  <c r="DK86" i="5"/>
  <c r="DL86" i="5"/>
  <c r="DM86" i="5"/>
  <c r="DN86" i="5"/>
  <c r="DO86" i="5"/>
  <c r="DP86" i="5"/>
  <c r="DQ86" i="5"/>
  <c r="DR86" i="5"/>
  <c r="DS86" i="5"/>
  <c r="DT86" i="5"/>
  <c r="DU86" i="5"/>
  <c r="DV86" i="5"/>
  <c r="DW86" i="5"/>
  <c r="DX86" i="5"/>
  <c r="DY86" i="5"/>
  <c r="DZ86" i="5"/>
  <c r="EA86" i="5"/>
  <c r="EB86" i="5"/>
  <c r="EC86" i="5"/>
  <c r="ED86" i="5"/>
  <c r="EE86" i="5"/>
  <c r="EF86" i="5"/>
  <c r="EG86" i="5"/>
  <c r="EH86" i="5"/>
  <c r="EI86" i="5"/>
  <c r="EJ86" i="5"/>
  <c r="EK86" i="5"/>
  <c r="EL86" i="5"/>
  <c r="EM86" i="5"/>
  <c r="EN86" i="5"/>
  <c r="EO86" i="5"/>
  <c r="EP86" i="5"/>
  <c r="EQ86" i="5"/>
  <c r="ER86" i="5"/>
  <c r="ES86" i="5"/>
  <c r="ET86" i="5"/>
  <c r="EU86" i="5"/>
  <c r="EV86" i="5"/>
  <c r="EW86" i="5"/>
  <c r="EX86" i="5"/>
  <c r="EY86" i="5"/>
  <c r="EZ86" i="5"/>
  <c r="FA86" i="5"/>
  <c r="FB86" i="5"/>
  <c r="FC86" i="5"/>
  <c r="FD86" i="5"/>
  <c r="FE86" i="5"/>
  <c r="FF86" i="5"/>
  <c r="FG86" i="5"/>
  <c r="FH86" i="5"/>
  <c r="FI86" i="5"/>
  <c r="FJ86" i="5"/>
  <c r="FK86" i="5"/>
  <c r="FL86" i="5"/>
  <c r="FM86" i="5"/>
  <c r="FN86" i="5"/>
  <c r="FO86" i="5"/>
  <c r="FP86" i="5"/>
  <c r="FQ86" i="5"/>
  <c r="FR86" i="5"/>
  <c r="FS86" i="5"/>
  <c r="FT86" i="5"/>
  <c r="FU86" i="5"/>
  <c r="FV86" i="5"/>
  <c r="FW86" i="5"/>
  <c r="FX86" i="5"/>
  <c r="FY86" i="5"/>
  <c r="FZ86" i="5"/>
  <c r="GA86" i="5"/>
  <c r="GB86" i="5"/>
  <c r="GC86" i="5"/>
  <c r="GD86" i="5"/>
  <c r="GE86" i="5"/>
  <c r="GF86" i="5"/>
  <c r="GG86" i="5"/>
  <c r="GH86" i="5"/>
  <c r="GI86" i="5"/>
  <c r="GJ86" i="5"/>
  <c r="GK86" i="5"/>
  <c r="GL86" i="5"/>
  <c r="GM86" i="5"/>
  <c r="GN86" i="5"/>
  <c r="GO86" i="5"/>
  <c r="GP86" i="5"/>
  <c r="GQ86" i="5"/>
  <c r="GR86" i="5"/>
  <c r="GS86" i="5"/>
  <c r="GT86" i="5"/>
  <c r="GU86" i="5"/>
  <c r="GV86" i="5"/>
  <c r="GW86" i="5"/>
  <c r="GX86" i="5"/>
  <c r="GY86" i="5"/>
  <c r="GZ86" i="5"/>
  <c r="HA86" i="5"/>
  <c r="HB86" i="5"/>
  <c r="HC86" i="5"/>
  <c r="HD86" i="5"/>
  <c r="HE86" i="5"/>
  <c r="HF86" i="5"/>
  <c r="HG86" i="5"/>
  <c r="HH86" i="5"/>
  <c r="HI86" i="5"/>
  <c r="HJ86" i="5"/>
  <c r="HK86" i="5"/>
  <c r="HL86" i="5"/>
  <c r="HM86" i="5"/>
  <c r="HN86" i="5"/>
  <c r="HO86" i="5"/>
  <c r="HP86" i="5"/>
  <c r="HQ86" i="5"/>
  <c r="HR86" i="5"/>
  <c r="HS86" i="5"/>
  <c r="HT86" i="5"/>
  <c r="HU86" i="5"/>
  <c r="HV86" i="5"/>
  <c r="HW86" i="5"/>
  <c r="HX86" i="5"/>
  <c r="HY86" i="5"/>
  <c r="HZ86" i="5"/>
  <c r="IA86" i="5"/>
  <c r="IB86" i="5"/>
  <c r="IC86" i="5"/>
  <c r="ID86" i="5"/>
  <c r="IE86" i="5"/>
  <c r="IF86" i="5"/>
  <c r="IG86" i="5"/>
  <c r="IH86" i="5"/>
  <c r="II86" i="5"/>
  <c r="IJ86" i="5"/>
  <c r="IK86" i="5"/>
  <c r="IL86" i="5"/>
  <c r="IM86" i="5"/>
  <c r="IN86" i="5"/>
  <c r="IO86" i="5"/>
  <c r="IP86" i="5"/>
  <c r="IQ86" i="5"/>
  <c r="IR86" i="5"/>
  <c r="IS86" i="5"/>
  <c r="IT86" i="5"/>
  <c r="IU86" i="5"/>
  <c r="IV86" i="5"/>
  <c r="A85" i="5"/>
  <c r="B85" i="5"/>
  <c r="C85" i="5"/>
  <c r="D85" i="5"/>
  <c r="E85" i="5"/>
  <c r="F85" i="5"/>
  <c r="G85" i="5"/>
  <c r="H85" i="5"/>
  <c r="I85" i="5"/>
  <c r="J85" i="5"/>
  <c r="K85" i="5"/>
  <c r="L85" i="5"/>
  <c r="M85" i="5"/>
  <c r="N85" i="5"/>
  <c r="O85" i="5"/>
  <c r="P85" i="5"/>
  <c r="Q85" i="5"/>
  <c r="R85" i="5"/>
  <c r="S85" i="5"/>
  <c r="T85" i="5"/>
  <c r="U85" i="5"/>
  <c r="V85" i="5"/>
  <c r="W85" i="5"/>
  <c r="X85" i="5"/>
  <c r="Y85" i="5"/>
  <c r="Z85" i="5"/>
  <c r="AA85" i="5"/>
  <c r="AB85" i="5"/>
  <c r="AC85" i="5"/>
  <c r="AD85" i="5"/>
  <c r="AE85" i="5"/>
  <c r="AF85" i="5"/>
  <c r="AG85" i="5"/>
  <c r="AH85" i="5"/>
  <c r="AI85" i="5"/>
  <c r="AJ85" i="5"/>
  <c r="AK85" i="5"/>
  <c r="AL85" i="5"/>
  <c r="AM85" i="5"/>
  <c r="AN85" i="5"/>
  <c r="AO85" i="5"/>
  <c r="AP85" i="5"/>
  <c r="AQ85" i="5"/>
  <c r="AR85" i="5"/>
  <c r="AS85" i="5"/>
  <c r="AT85" i="5"/>
  <c r="AU85" i="5"/>
  <c r="AV85" i="5"/>
  <c r="AW85" i="5"/>
  <c r="AX85" i="5"/>
  <c r="AY85" i="5"/>
  <c r="AZ85" i="5"/>
  <c r="BA85" i="5"/>
  <c r="BB85" i="5"/>
  <c r="BC85" i="5"/>
  <c r="BD85" i="5"/>
  <c r="BE85" i="5"/>
  <c r="BF85" i="5"/>
  <c r="BG85" i="5"/>
  <c r="BH85" i="5"/>
  <c r="BI85" i="5"/>
  <c r="BJ85" i="5"/>
  <c r="BK85" i="5"/>
  <c r="BL85" i="5"/>
  <c r="BM85" i="5"/>
  <c r="BN85" i="5"/>
  <c r="BO85" i="5"/>
  <c r="BP85" i="5"/>
  <c r="BQ85" i="5"/>
  <c r="BR85" i="5"/>
  <c r="BS85" i="5"/>
  <c r="BT85" i="5"/>
  <c r="BU85" i="5"/>
  <c r="BV85" i="5"/>
  <c r="BW85" i="5"/>
  <c r="BX85" i="5"/>
  <c r="BY85" i="5"/>
  <c r="BZ85" i="5"/>
  <c r="CA85" i="5"/>
  <c r="CB85" i="5"/>
  <c r="CC85" i="5"/>
  <c r="CD85" i="5"/>
  <c r="CE85" i="5"/>
  <c r="CF85" i="5"/>
  <c r="CG85" i="5"/>
  <c r="CH85" i="5"/>
  <c r="CI85" i="5"/>
  <c r="CJ85" i="5"/>
  <c r="CK85" i="5"/>
  <c r="CL85" i="5"/>
  <c r="CM85" i="5"/>
  <c r="CN85" i="5"/>
  <c r="CO85" i="5"/>
  <c r="CP85" i="5"/>
  <c r="CQ85" i="5"/>
  <c r="CR85" i="5"/>
  <c r="CS85" i="5"/>
  <c r="CT85" i="5"/>
  <c r="CU85" i="5"/>
  <c r="CV85" i="5"/>
  <c r="CW85" i="5"/>
  <c r="CX85" i="5"/>
  <c r="CY85" i="5"/>
  <c r="CZ85" i="5"/>
  <c r="DA85" i="5"/>
  <c r="DB85" i="5"/>
  <c r="DC85" i="5"/>
  <c r="DD85" i="5"/>
  <c r="DE85" i="5"/>
  <c r="DF85" i="5"/>
  <c r="DG85" i="5"/>
  <c r="DH85" i="5"/>
  <c r="DI85" i="5"/>
  <c r="DJ85" i="5"/>
  <c r="DK85" i="5"/>
  <c r="DL85" i="5"/>
  <c r="DM85" i="5"/>
  <c r="DN85" i="5"/>
  <c r="DO85" i="5"/>
  <c r="DP85" i="5"/>
  <c r="DQ85" i="5"/>
  <c r="DR85" i="5"/>
  <c r="DS85" i="5"/>
  <c r="DT85" i="5"/>
  <c r="DU85" i="5"/>
  <c r="DV85" i="5"/>
  <c r="DW85" i="5"/>
  <c r="DX85" i="5"/>
  <c r="DY85" i="5"/>
  <c r="DZ85" i="5"/>
  <c r="EA85" i="5"/>
  <c r="EB85" i="5"/>
  <c r="EC85" i="5"/>
  <c r="ED85" i="5"/>
  <c r="EE85" i="5"/>
  <c r="EF85" i="5"/>
  <c r="EG85" i="5"/>
  <c r="EH85" i="5"/>
  <c r="EI85" i="5"/>
  <c r="EJ85" i="5"/>
  <c r="EK85" i="5"/>
  <c r="EL85" i="5"/>
  <c r="EM85" i="5"/>
  <c r="EN85" i="5"/>
  <c r="EO85" i="5"/>
  <c r="EP85" i="5"/>
  <c r="EQ85" i="5"/>
  <c r="ER85" i="5"/>
  <c r="ES85" i="5"/>
  <c r="ET85" i="5"/>
  <c r="EU85" i="5"/>
  <c r="EV85" i="5"/>
  <c r="EW85" i="5"/>
  <c r="EX85" i="5"/>
  <c r="EY85" i="5"/>
  <c r="EZ85" i="5"/>
  <c r="FA85" i="5"/>
  <c r="FB85" i="5"/>
  <c r="FC85" i="5"/>
  <c r="FD85" i="5"/>
  <c r="FE85" i="5"/>
  <c r="FF85" i="5"/>
  <c r="FG85" i="5"/>
  <c r="FH85" i="5"/>
  <c r="FI85" i="5"/>
  <c r="FJ85" i="5"/>
  <c r="FK85" i="5"/>
  <c r="FL85" i="5"/>
  <c r="FM85" i="5"/>
  <c r="FN85" i="5"/>
  <c r="FO85" i="5"/>
  <c r="FP85" i="5"/>
  <c r="FQ85" i="5"/>
  <c r="FR85" i="5"/>
  <c r="FS85" i="5"/>
  <c r="FT85" i="5"/>
  <c r="FU85" i="5"/>
  <c r="FV85" i="5"/>
  <c r="FW85" i="5"/>
  <c r="FX85" i="5"/>
  <c r="FY85" i="5"/>
  <c r="FZ85" i="5"/>
  <c r="GA85" i="5"/>
  <c r="GB85" i="5"/>
  <c r="GC85" i="5"/>
  <c r="GD85" i="5"/>
  <c r="GE85" i="5"/>
  <c r="GF85" i="5"/>
  <c r="GG85" i="5"/>
  <c r="GH85" i="5"/>
  <c r="GI85" i="5"/>
  <c r="GJ85" i="5"/>
  <c r="GK85" i="5"/>
  <c r="GL85" i="5"/>
  <c r="GM85" i="5"/>
  <c r="GN85" i="5"/>
  <c r="GO85" i="5"/>
  <c r="GP85" i="5"/>
  <c r="GQ85" i="5"/>
  <c r="GR85" i="5"/>
  <c r="GS85" i="5"/>
  <c r="GT85" i="5"/>
  <c r="GU85" i="5"/>
  <c r="GV85" i="5"/>
  <c r="GW85" i="5"/>
  <c r="GX85" i="5"/>
  <c r="GY85" i="5"/>
  <c r="GZ85" i="5"/>
  <c r="HA85" i="5"/>
  <c r="HB85" i="5"/>
  <c r="HC85" i="5"/>
  <c r="HD85" i="5"/>
  <c r="HE85" i="5"/>
  <c r="HF85" i="5"/>
  <c r="HG85" i="5"/>
  <c r="HH85" i="5"/>
  <c r="HI85" i="5"/>
  <c r="HJ85" i="5"/>
  <c r="HK85" i="5"/>
  <c r="HL85" i="5"/>
  <c r="HM85" i="5"/>
  <c r="HN85" i="5"/>
  <c r="HO85" i="5"/>
  <c r="HP85" i="5"/>
  <c r="HQ85" i="5"/>
  <c r="HR85" i="5"/>
  <c r="HS85" i="5"/>
  <c r="HT85" i="5"/>
  <c r="HU85" i="5"/>
  <c r="HV85" i="5"/>
  <c r="HW85" i="5"/>
  <c r="HX85" i="5"/>
  <c r="HY85" i="5"/>
  <c r="HZ85" i="5"/>
  <c r="IA85" i="5"/>
  <c r="IB85" i="5"/>
  <c r="IC85" i="5"/>
  <c r="ID85" i="5"/>
  <c r="IE85" i="5"/>
  <c r="IF85" i="5"/>
  <c r="IG85" i="5"/>
  <c r="IH85" i="5"/>
  <c r="II85" i="5"/>
  <c r="IJ85" i="5"/>
  <c r="IK85" i="5"/>
  <c r="IL85" i="5"/>
  <c r="IM85" i="5"/>
  <c r="IN85" i="5"/>
  <c r="IO85" i="5"/>
  <c r="IP85" i="5"/>
  <c r="IQ85" i="5"/>
  <c r="IR85" i="5"/>
  <c r="IS85" i="5"/>
  <c r="IT85" i="5"/>
  <c r="IU85" i="5"/>
  <c r="IV85" i="5"/>
  <c r="A84" i="5"/>
  <c r="B84" i="5"/>
  <c r="C84" i="5"/>
  <c r="D84" i="5"/>
  <c r="E84" i="5"/>
  <c r="F84" i="5"/>
  <c r="G84" i="5"/>
  <c r="H84" i="5"/>
  <c r="I84" i="5"/>
  <c r="J84" i="5"/>
  <c r="K84" i="5"/>
  <c r="L84" i="5"/>
  <c r="M84" i="5"/>
  <c r="N84" i="5"/>
  <c r="O84" i="5"/>
  <c r="P84" i="5"/>
  <c r="Q84" i="5"/>
  <c r="R84" i="5"/>
  <c r="S84" i="5"/>
  <c r="T84" i="5"/>
  <c r="U84" i="5"/>
  <c r="V84" i="5"/>
  <c r="W84" i="5"/>
  <c r="X84" i="5"/>
  <c r="Y84" i="5"/>
  <c r="Z84" i="5"/>
  <c r="AA84" i="5"/>
  <c r="AB84" i="5"/>
  <c r="AC84" i="5"/>
  <c r="AD84" i="5"/>
  <c r="AE84" i="5"/>
  <c r="AF84" i="5"/>
  <c r="AG84" i="5"/>
  <c r="AH84" i="5"/>
  <c r="AI84" i="5"/>
  <c r="AJ84" i="5"/>
  <c r="AK84" i="5"/>
  <c r="AL84" i="5"/>
  <c r="AM84" i="5"/>
  <c r="AN84" i="5"/>
  <c r="AO84" i="5"/>
  <c r="AP84" i="5"/>
  <c r="AQ84" i="5"/>
  <c r="AR84" i="5"/>
  <c r="AS84" i="5"/>
  <c r="AT84" i="5"/>
  <c r="AU84" i="5"/>
  <c r="AV84" i="5"/>
  <c r="AW84" i="5"/>
  <c r="AX84" i="5"/>
  <c r="AY84" i="5"/>
  <c r="AZ84" i="5"/>
  <c r="BA84" i="5"/>
  <c r="BB84" i="5"/>
  <c r="BC84" i="5"/>
  <c r="BD84" i="5"/>
  <c r="BE84" i="5"/>
  <c r="BF84" i="5"/>
  <c r="BG84" i="5"/>
  <c r="BH84" i="5"/>
  <c r="BI84" i="5"/>
  <c r="BJ84" i="5"/>
  <c r="BK84" i="5"/>
  <c r="BL84" i="5"/>
  <c r="BM84" i="5"/>
  <c r="BN84" i="5"/>
  <c r="BO84" i="5"/>
  <c r="BP84" i="5"/>
  <c r="BQ84" i="5"/>
  <c r="BR84" i="5"/>
  <c r="BS84" i="5"/>
  <c r="BT84" i="5"/>
  <c r="BU84" i="5"/>
  <c r="BV84" i="5"/>
  <c r="BW84" i="5"/>
  <c r="BX84" i="5"/>
  <c r="BY84" i="5"/>
  <c r="BZ84" i="5"/>
  <c r="CA84" i="5"/>
  <c r="CB84" i="5"/>
  <c r="CC84" i="5"/>
  <c r="CD84" i="5"/>
  <c r="CE84" i="5"/>
  <c r="CF84" i="5"/>
  <c r="CG84" i="5"/>
  <c r="CH84" i="5"/>
  <c r="CI84" i="5"/>
  <c r="CJ84" i="5"/>
  <c r="CK84" i="5"/>
  <c r="CL84" i="5"/>
  <c r="CM84" i="5"/>
  <c r="CN84" i="5"/>
  <c r="CO84" i="5"/>
  <c r="CP84" i="5"/>
  <c r="CQ84" i="5"/>
  <c r="CR84" i="5"/>
  <c r="CS84" i="5"/>
  <c r="CT84" i="5"/>
  <c r="CU84" i="5"/>
  <c r="CV84" i="5"/>
  <c r="CW84" i="5"/>
  <c r="CX84" i="5"/>
  <c r="CY84" i="5"/>
  <c r="CZ84" i="5"/>
  <c r="DA84" i="5"/>
  <c r="DB84" i="5"/>
  <c r="DC84" i="5"/>
  <c r="DD84" i="5"/>
  <c r="DE84" i="5"/>
  <c r="DF84" i="5"/>
  <c r="DG84" i="5"/>
  <c r="DH84" i="5"/>
  <c r="DI84" i="5"/>
  <c r="DJ84" i="5"/>
  <c r="DK84" i="5"/>
  <c r="DL84" i="5"/>
  <c r="DM84" i="5"/>
  <c r="DN84" i="5"/>
  <c r="DO84" i="5"/>
  <c r="DP84" i="5"/>
  <c r="DQ84" i="5"/>
  <c r="DR84" i="5"/>
  <c r="DS84" i="5"/>
  <c r="DT84" i="5"/>
  <c r="DU84" i="5"/>
  <c r="DV84" i="5"/>
  <c r="DW84" i="5"/>
  <c r="DX84" i="5"/>
  <c r="DY84" i="5"/>
  <c r="DZ84" i="5"/>
  <c r="EA84" i="5"/>
  <c r="EB84" i="5"/>
  <c r="EC84" i="5"/>
  <c r="ED84" i="5"/>
  <c r="EE84" i="5"/>
  <c r="EF84" i="5"/>
  <c r="EG84" i="5"/>
  <c r="EH84" i="5"/>
  <c r="EI84" i="5"/>
  <c r="EJ84" i="5"/>
  <c r="EK84" i="5"/>
  <c r="EL84" i="5"/>
  <c r="EM84" i="5"/>
  <c r="EN84" i="5"/>
  <c r="EO84" i="5"/>
  <c r="EP84" i="5"/>
  <c r="EQ84" i="5"/>
  <c r="ER84" i="5"/>
  <c r="ES84" i="5"/>
  <c r="ET84" i="5"/>
  <c r="EU84" i="5"/>
  <c r="EV84" i="5"/>
  <c r="EW84" i="5"/>
  <c r="EX84" i="5"/>
  <c r="EY84" i="5"/>
  <c r="EZ84" i="5"/>
  <c r="FA84" i="5"/>
  <c r="FB84" i="5"/>
  <c r="FC84" i="5"/>
  <c r="FD84" i="5"/>
  <c r="FE84" i="5"/>
  <c r="FF84" i="5"/>
  <c r="FG84" i="5"/>
  <c r="FH84" i="5"/>
  <c r="FI84" i="5"/>
  <c r="FJ84" i="5"/>
  <c r="FK84" i="5"/>
  <c r="FL84" i="5"/>
  <c r="FM84" i="5"/>
  <c r="FN84" i="5"/>
  <c r="FO84" i="5"/>
  <c r="FP84" i="5"/>
  <c r="FQ84" i="5"/>
  <c r="FR84" i="5"/>
  <c r="FS84" i="5"/>
  <c r="FT84" i="5"/>
  <c r="FU84" i="5"/>
  <c r="FV84" i="5"/>
  <c r="FW84" i="5"/>
  <c r="FX84" i="5"/>
  <c r="FY84" i="5"/>
  <c r="FZ84" i="5"/>
  <c r="GA84" i="5"/>
  <c r="GB84" i="5"/>
  <c r="GC84" i="5"/>
  <c r="GD84" i="5"/>
  <c r="GE84" i="5"/>
  <c r="GF84" i="5"/>
  <c r="GG84" i="5"/>
  <c r="GH84" i="5"/>
  <c r="GI84" i="5"/>
  <c r="GJ84" i="5"/>
  <c r="GK84" i="5"/>
  <c r="GL84" i="5"/>
  <c r="GM84" i="5"/>
  <c r="GN84" i="5"/>
  <c r="GO84" i="5"/>
  <c r="GP84" i="5"/>
  <c r="GQ84" i="5"/>
  <c r="GR84" i="5"/>
  <c r="GS84" i="5"/>
  <c r="GT84" i="5"/>
  <c r="GU84" i="5"/>
  <c r="GV84" i="5"/>
  <c r="GW84" i="5"/>
  <c r="GX84" i="5"/>
  <c r="GY84" i="5"/>
  <c r="GZ84" i="5"/>
  <c r="HA84" i="5"/>
  <c r="HB84" i="5"/>
  <c r="HC84" i="5"/>
  <c r="HD84" i="5"/>
  <c r="HE84" i="5"/>
  <c r="HF84" i="5"/>
  <c r="HG84" i="5"/>
  <c r="HH84" i="5"/>
  <c r="HI84" i="5"/>
  <c r="HJ84" i="5"/>
  <c r="HK84" i="5"/>
  <c r="HL84" i="5"/>
  <c r="HM84" i="5"/>
  <c r="HN84" i="5"/>
  <c r="HO84" i="5"/>
  <c r="HP84" i="5"/>
  <c r="HQ84" i="5"/>
  <c r="HR84" i="5"/>
  <c r="HS84" i="5"/>
  <c r="HT84" i="5"/>
  <c r="HU84" i="5"/>
  <c r="HV84" i="5"/>
  <c r="HW84" i="5"/>
  <c r="HX84" i="5"/>
  <c r="HY84" i="5"/>
  <c r="HZ84" i="5"/>
  <c r="IA84" i="5"/>
  <c r="IB84" i="5"/>
  <c r="IC84" i="5"/>
  <c r="ID84" i="5"/>
  <c r="IE84" i="5"/>
  <c r="IF84" i="5"/>
  <c r="IG84" i="5"/>
  <c r="IH84" i="5"/>
  <c r="II84" i="5"/>
  <c r="IJ84" i="5"/>
  <c r="IK84" i="5"/>
  <c r="IL84" i="5"/>
  <c r="IM84" i="5"/>
  <c r="IN84" i="5"/>
  <c r="IO84" i="5"/>
  <c r="IP84" i="5"/>
  <c r="IQ84" i="5"/>
  <c r="IR84" i="5"/>
  <c r="IS84" i="5"/>
  <c r="IT84" i="5"/>
  <c r="IU84" i="5"/>
  <c r="IV84" i="5"/>
  <c r="A83" i="5"/>
  <c r="B83" i="5"/>
  <c r="C83" i="5"/>
  <c r="D83" i="5"/>
  <c r="E83" i="5"/>
  <c r="F83" i="5"/>
  <c r="G83" i="5"/>
  <c r="H83" i="5"/>
  <c r="I83" i="5"/>
  <c r="J83" i="5"/>
  <c r="K83" i="5"/>
  <c r="L83" i="5"/>
  <c r="M83" i="5"/>
  <c r="N83" i="5"/>
  <c r="O83" i="5"/>
  <c r="P83" i="5"/>
  <c r="Q83" i="5"/>
  <c r="R83" i="5"/>
  <c r="S83" i="5"/>
  <c r="T83" i="5"/>
  <c r="U83" i="5"/>
  <c r="V83" i="5"/>
  <c r="W83" i="5"/>
  <c r="X83" i="5"/>
  <c r="Y83" i="5"/>
  <c r="Z83" i="5"/>
  <c r="AA83" i="5"/>
  <c r="AB83" i="5"/>
  <c r="AC83" i="5"/>
  <c r="AD83" i="5"/>
  <c r="AE83" i="5"/>
  <c r="AF83" i="5"/>
  <c r="AG83" i="5"/>
  <c r="AH83" i="5"/>
  <c r="AI83" i="5"/>
  <c r="AJ83" i="5"/>
  <c r="AK83" i="5"/>
  <c r="AL83" i="5"/>
  <c r="AM83" i="5"/>
  <c r="AN83" i="5"/>
  <c r="AO83" i="5"/>
  <c r="AP83" i="5"/>
  <c r="AQ83" i="5"/>
  <c r="AR83" i="5"/>
  <c r="AS83" i="5"/>
  <c r="AT83" i="5"/>
  <c r="AU83" i="5"/>
  <c r="AV83" i="5"/>
  <c r="AW83" i="5"/>
  <c r="AX83" i="5"/>
  <c r="AY83" i="5"/>
  <c r="AZ83" i="5"/>
  <c r="BA83" i="5"/>
  <c r="BB83" i="5"/>
  <c r="BC83" i="5"/>
  <c r="BD83" i="5"/>
  <c r="BE83" i="5"/>
  <c r="BF83" i="5"/>
  <c r="BG83" i="5"/>
  <c r="BH83" i="5"/>
  <c r="BI83" i="5"/>
  <c r="BJ83" i="5"/>
  <c r="BK83" i="5"/>
  <c r="BL83" i="5"/>
  <c r="BM83" i="5"/>
  <c r="BN83" i="5"/>
  <c r="BO83" i="5"/>
  <c r="BP83" i="5"/>
  <c r="BQ83" i="5"/>
  <c r="BR83" i="5"/>
  <c r="BS83" i="5"/>
  <c r="BT83" i="5"/>
  <c r="BU83" i="5"/>
  <c r="BV83" i="5"/>
  <c r="BW83" i="5"/>
  <c r="BX83" i="5"/>
  <c r="BY83" i="5"/>
  <c r="BZ83" i="5"/>
  <c r="CA83" i="5"/>
  <c r="CB83" i="5"/>
  <c r="CC83" i="5"/>
  <c r="CD83" i="5"/>
  <c r="CE83" i="5"/>
  <c r="CF83" i="5"/>
  <c r="CG83" i="5"/>
  <c r="CH83" i="5"/>
  <c r="CI83" i="5"/>
  <c r="CJ83" i="5"/>
  <c r="CK83" i="5"/>
  <c r="CL83" i="5"/>
  <c r="CM83" i="5"/>
  <c r="CN83" i="5"/>
  <c r="CO83" i="5"/>
  <c r="CP83" i="5"/>
  <c r="CQ83" i="5"/>
  <c r="CR83" i="5"/>
  <c r="CS83" i="5"/>
  <c r="CT83" i="5"/>
  <c r="CU83" i="5"/>
  <c r="CV83" i="5"/>
  <c r="CW83" i="5"/>
  <c r="CX83" i="5"/>
  <c r="CY83" i="5"/>
  <c r="CZ83" i="5"/>
  <c r="DA83" i="5"/>
  <c r="DB83" i="5"/>
  <c r="DC83" i="5"/>
  <c r="DD83" i="5"/>
  <c r="DE83" i="5"/>
  <c r="DF83" i="5"/>
  <c r="DG83" i="5"/>
  <c r="DH83" i="5"/>
  <c r="DI83" i="5"/>
  <c r="DJ83" i="5"/>
  <c r="DK83" i="5"/>
  <c r="DL83" i="5"/>
  <c r="DM83" i="5"/>
  <c r="DN83" i="5"/>
  <c r="DO83" i="5"/>
  <c r="DP83" i="5"/>
  <c r="DQ83" i="5"/>
  <c r="DR83" i="5"/>
  <c r="DS83" i="5"/>
  <c r="DT83" i="5"/>
  <c r="DU83" i="5"/>
  <c r="DV83" i="5"/>
  <c r="DW83" i="5"/>
  <c r="DX83" i="5"/>
  <c r="DY83" i="5"/>
  <c r="DZ83" i="5"/>
  <c r="EA83" i="5"/>
  <c r="EB83" i="5"/>
  <c r="EC83" i="5"/>
  <c r="ED83" i="5"/>
  <c r="EE83" i="5"/>
  <c r="EF83" i="5"/>
  <c r="EG83" i="5"/>
  <c r="EH83" i="5"/>
  <c r="EI83" i="5"/>
  <c r="EJ83" i="5"/>
  <c r="EK83" i="5"/>
  <c r="EL83" i="5"/>
  <c r="EM83" i="5"/>
  <c r="EN83" i="5"/>
  <c r="EO83" i="5"/>
  <c r="EP83" i="5"/>
  <c r="EQ83" i="5"/>
  <c r="ER83" i="5"/>
  <c r="ES83" i="5"/>
  <c r="ET83" i="5"/>
  <c r="EU83" i="5"/>
  <c r="EV83" i="5"/>
  <c r="EW83" i="5"/>
  <c r="EX83" i="5"/>
  <c r="EY83" i="5"/>
  <c r="EZ83" i="5"/>
  <c r="FA83" i="5"/>
  <c r="FB83" i="5"/>
  <c r="FC83" i="5"/>
  <c r="FD83" i="5"/>
  <c r="FE83" i="5"/>
  <c r="FF83" i="5"/>
  <c r="FG83" i="5"/>
  <c r="FH83" i="5"/>
  <c r="FI83" i="5"/>
  <c r="FJ83" i="5"/>
  <c r="FK83" i="5"/>
  <c r="FL83" i="5"/>
  <c r="FM83" i="5"/>
  <c r="FN83" i="5"/>
  <c r="FO83" i="5"/>
  <c r="FP83" i="5"/>
  <c r="FQ83" i="5"/>
  <c r="FR83" i="5"/>
  <c r="FS83" i="5"/>
  <c r="FT83" i="5"/>
  <c r="FU83" i="5"/>
  <c r="FV83" i="5"/>
  <c r="FW83" i="5"/>
  <c r="FX83" i="5"/>
  <c r="FY83" i="5"/>
  <c r="FZ83" i="5"/>
  <c r="GA83" i="5"/>
  <c r="GB83" i="5"/>
  <c r="GC83" i="5"/>
  <c r="GD83" i="5"/>
  <c r="GE83" i="5"/>
  <c r="GF83" i="5"/>
  <c r="GG83" i="5"/>
  <c r="GH83" i="5"/>
  <c r="GI83" i="5"/>
  <c r="GJ83" i="5"/>
  <c r="GK83" i="5"/>
  <c r="GL83" i="5"/>
  <c r="GM83" i="5"/>
  <c r="GN83" i="5"/>
  <c r="GO83" i="5"/>
  <c r="GP83" i="5"/>
  <c r="GQ83" i="5"/>
  <c r="GR83" i="5"/>
  <c r="GS83" i="5"/>
  <c r="GT83" i="5"/>
  <c r="GU83" i="5"/>
  <c r="GV83" i="5"/>
  <c r="GW83" i="5"/>
  <c r="GX83" i="5"/>
  <c r="GY83" i="5"/>
  <c r="GZ83" i="5"/>
  <c r="HA83" i="5"/>
  <c r="HB83" i="5"/>
  <c r="HC83" i="5"/>
  <c r="HD83" i="5"/>
  <c r="HE83" i="5"/>
  <c r="HF83" i="5"/>
  <c r="HG83" i="5"/>
  <c r="HH83" i="5"/>
  <c r="HI83" i="5"/>
  <c r="HJ83" i="5"/>
  <c r="HK83" i="5"/>
  <c r="HL83" i="5"/>
  <c r="HM83" i="5"/>
  <c r="HN83" i="5"/>
  <c r="HO83" i="5"/>
  <c r="HP83" i="5"/>
  <c r="HQ83" i="5"/>
  <c r="HR83" i="5"/>
  <c r="HS83" i="5"/>
  <c r="HT83" i="5"/>
  <c r="HU83" i="5"/>
  <c r="HV83" i="5"/>
  <c r="HW83" i="5"/>
  <c r="HX83" i="5"/>
  <c r="HY83" i="5"/>
  <c r="HZ83" i="5"/>
  <c r="IA83" i="5"/>
  <c r="IB83" i="5"/>
  <c r="IC83" i="5"/>
  <c r="ID83" i="5"/>
  <c r="IE83" i="5"/>
  <c r="IF83" i="5"/>
  <c r="IG83" i="5"/>
  <c r="IH83" i="5"/>
  <c r="II83" i="5"/>
  <c r="IJ83" i="5"/>
  <c r="IK83" i="5"/>
  <c r="IL83" i="5"/>
  <c r="IM83" i="5"/>
  <c r="IN83" i="5"/>
  <c r="IO83" i="5"/>
  <c r="IP83" i="5"/>
  <c r="IQ83" i="5"/>
  <c r="IR83" i="5"/>
  <c r="IS83" i="5"/>
  <c r="IT83" i="5"/>
  <c r="IU83" i="5"/>
  <c r="IV83" i="5"/>
  <c r="A82" i="5"/>
  <c r="B82" i="5"/>
  <c r="C82" i="5"/>
  <c r="D82" i="5"/>
  <c r="E82" i="5"/>
  <c r="F82" i="5"/>
  <c r="G82" i="5"/>
  <c r="H82" i="5"/>
  <c r="I82" i="5"/>
  <c r="J82" i="5"/>
  <c r="K82" i="5"/>
  <c r="L82" i="5"/>
  <c r="M82" i="5"/>
  <c r="N82" i="5"/>
  <c r="O82" i="5"/>
  <c r="P82" i="5"/>
  <c r="Q82" i="5"/>
  <c r="R82" i="5"/>
  <c r="S82" i="5"/>
  <c r="T82" i="5"/>
  <c r="U82" i="5"/>
  <c r="V82" i="5"/>
  <c r="W82" i="5"/>
  <c r="X82" i="5"/>
  <c r="Y82" i="5"/>
  <c r="Z82" i="5"/>
  <c r="AA82" i="5"/>
  <c r="AB82" i="5"/>
  <c r="AC82" i="5"/>
  <c r="AD82" i="5"/>
  <c r="AE82" i="5"/>
  <c r="AF82" i="5"/>
  <c r="AG82" i="5"/>
  <c r="AH82" i="5"/>
  <c r="AI82" i="5"/>
  <c r="AJ82" i="5"/>
  <c r="AK82" i="5"/>
  <c r="AL82" i="5"/>
  <c r="AM82" i="5"/>
  <c r="AN82" i="5"/>
  <c r="AO82" i="5"/>
  <c r="AP82" i="5"/>
  <c r="AQ82" i="5"/>
  <c r="AR82" i="5"/>
  <c r="AS82" i="5"/>
  <c r="AT82" i="5"/>
  <c r="AU82" i="5"/>
  <c r="AV82" i="5"/>
  <c r="AW82" i="5"/>
  <c r="AX82" i="5"/>
  <c r="AY82" i="5"/>
  <c r="AZ82" i="5"/>
  <c r="BA82" i="5"/>
  <c r="BB82" i="5"/>
  <c r="BC82" i="5"/>
  <c r="BD82" i="5"/>
  <c r="BE82" i="5"/>
  <c r="BF82" i="5"/>
  <c r="BG82" i="5"/>
  <c r="BH82" i="5"/>
  <c r="BI82" i="5"/>
  <c r="BJ82" i="5"/>
  <c r="BK82" i="5"/>
  <c r="BL82" i="5"/>
  <c r="BM82" i="5"/>
  <c r="BN82" i="5"/>
  <c r="BO82" i="5"/>
  <c r="BP82" i="5"/>
  <c r="BQ82" i="5"/>
  <c r="BR82" i="5"/>
  <c r="BS82" i="5"/>
  <c r="BT82" i="5"/>
  <c r="BU82" i="5"/>
  <c r="BV82" i="5"/>
  <c r="BW82" i="5"/>
  <c r="BX82" i="5"/>
  <c r="BY82" i="5"/>
  <c r="BZ82" i="5"/>
  <c r="CA82" i="5"/>
  <c r="CB82" i="5"/>
  <c r="CC82" i="5"/>
  <c r="CD82" i="5"/>
  <c r="CE82" i="5"/>
  <c r="CF82" i="5"/>
  <c r="CG82" i="5"/>
  <c r="CH82" i="5"/>
  <c r="CI82" i="5"/>
  <c r="CJ82" i="5"/>
  <c r="CK82" i="5"/>
  <c r="CL82" i="5"/>
  <c r="CM82" i="5"/>
  <c r="CN82" i="5"/>
  <c r="CO82" i="5"/>
  <c r="CP82" i="5"/>
  <c r="CQ82" i="5"/>
  <c r="CR82" i="5"/>
  <c r="CS82" i="5"/>
  <c r="CT82" i="5"/>
  <c r="CU82" i="5"/>
  <c r="CV82" i="5"/>
  <c r="CW82" i="5"/>
  <c r="CX82" i="5"/>
  <c r="CY82" i="5"/>
  <c r="CZ82" i="5"/>
  <c r="DA82" i="5"/>
  <c r="DB82" i="5"/>
  <c r="DC82" i="5"/>
  <c r="DD82" i="5"/>
  <c r="DE82" i="5"/>
  <c r="DF82" i="5"/>
  <c r="DG82" i="5"/>
  <c r="DH82" i="5"/>
  <c r="DI82" i="5"/>
  <c r="DJ82" i="5"/>
  <c r="DK82" i="5"/>
  <c r="DL82" i="5"/>
  <c r="DM82" i="5"/>
  <c r="DN82" i="5"/>
  <c r="DO82" i="5"/>
  <c r="DP82" i="5"/>
  <c r="DQ82" i="5"/>
  <c r="DR82" i="5"/>
  <c r="DS82" i="5"/>
  <c r="DT82" i="5"/>
  <c r="DU82" i="5"/>
  <c r="DV82" i="5"/>
  <c r="DW82" i="5"/>
  <c r="DX82" i="5"/>
  <c r="DY82" i="5"/>
  <c r="DZ82" i="5"/>
  <c r="EA82" i="5"/>
  <c r="EB82" i="5"/>
  <c r="EC82" i="5"/>
  <c r="ED82" i="5"/>
  <c r="EE82" i="5"/>
  <c r="EF82" i="5"/>
  <c r="EG82" i="5"/>
  <c r="EH82" i="5"/>
  <c r="EI82" i="5"/>
  <c r="EJ82" i="5"/>
  <c r="EK82" i="5"/>
  <c r="EL82" i="5"/>
  <c r="EM82" i="5"/>
  <c r="EN82" i="5"/>
  <c r="EO82" i="5"/>
  <c r="EP82" i="5"/>
  <c r="EQ82" i="5"/>
  <c r="ER82" i="5"/>
  <c r="ES82" i="5"/>
  <c r="ET82" i="5"/>
  <c r="EU82" i="5"/>
  <c r="EV82" i="5"/>
  <c r="EW82" i="5"/>
  <c r="EX82" i="5"/>
  <c r="EY82" i="5"/>
  <c r="EZ82" i="5"/>
  <c r="FA82" i="5"/>
  <c r="FB82" i="5"/>
  <c r="FC82" i="5"/>
  <c r="FD82" i="5"/>
  <c r="FE82" i="5"/>
  <c r="FF82" i="5"/>
  <c r="FG82" i="5"/>
  <c r="FH82" i="5"/>
  <c r="FI82" i="5"/>
  <c r="FJ82" i="5"/>
  <c r="FK82" i="5"/>
  <c r="FL82" i="5"/>
  <c r="FM82" i="5"/>
  <c r="FN82" i="5"/>
  <c r="FO82" i="5"/>
  <c r="FP82" i="5"/>
  <c r="FQ82" i="5"/>
  <c r="FR82" i="5"/>
  <c r="FS82" i="5"/>
  <c r="FT82" i="5"/>
  <c r="FU82" i="5"/>
  <c r="FV82" i="5"/>
  <c r="FW82" i="5"/>
  <c r="FX82" i="5"/>
  <c r="FY82" i="5"/>
  <c r="FZ82" i="5"/>
  <c r="GA82" i="5"/>
  <c r="GB82" i="5"/>
  <c r="GC82" i="5"/>
  <c r="GD82" i="5"/>
  <c r="GE82" i="5"/>
  <c r="GF82" i="5"/>
  <c r="GG82" i="5"/>
  <c r="GH82" i="5"/>
  <c r="GI82" i="5"/>
  <c r="GJ82" i="5"/>
  <c r="GK82" i="5"/>
  <c r="GL82" i="5"/>
  <c r="GM82" i="5"/>
  <c r="GN82" i="5"/>
  <c r="GO82" i="5"/>
  <c r="GP82" i="5"/>
  <c r="GQ82" i="5"/>
  <c r="GR82" i="5"/>
  <c r="GS82" i="5"/>
  <c r="GT82" i="5"/>
  <c r="GU82" i="5"/>
  <c r="GV82" i="5"/>
  <c r="GW82" i="5"/>
  <c r="GX82" i="5"/>
  <c r="GY82" i="5"/>
  <c r="GZ82" i="5"/>
  <c r="HA82" i="5"/>
  <c r="HB82" i="5"/>
  <c r="HC82" i="5"/>
  <c r="HD82" i="5"/>
  <c r="HE82" i="5"/>
  <c r="HF82" i="5"/>
  <c r="HG82" i="5"/>
  <c r="HH82" i="5"/>
  <c r="HI82" i="5"/>
  <c r="HJ82" i="5"/>
  <c r="HK82" i="5"/>
  <c r="HL82" i="5"/>
  <c r="HM82" i="5"/>
  <c r="HN82" i="5"/>
  <c r="HO82" i="5"/>
  <c r="HP82" i="5"/>
  <c r="HQ82" i="5"/>
  <c r="HR82" i="5"/>
  <c r="HS82" i="5"/>
  <c r="HT82" i="5"/>
  <c r="HU82" i="5"/>
  <c r="HV82" i="5"/>
  <c r="HW82" i="5"/>
  <c r="HX82" i="5"/>
  <c r="HY82" i="5"/>
  <c r="HZ82" i="5"/>
  <c r="IA82" i="5"/>
  <c r="IB82" i="5"/>
  <c r="IC82" i="5"/>
  <c r="ID82" i="5"/>
  <c r="IE82" i="5"/>
  <c r="IF82" i="5"/>
  <c r="IG82" i="5"/>
  <c r="IH82" i="5"/>
  <c r="II82" i="5"/>
  <c r="IJ82" i="5"/>
  <c r="IK82" i="5"/>
  <c r="IL82" i="5"/>
  <c r="IM82" i="5"/>
  <c r="IN82" i="5"/>
  <c r="IO82" i="5"/>
  <c r="IP82" i="5"/>
  <c r="IQ82" i="5"/>
  <c r="IR82" i="5"/>
  <c r="IS82" i="5"/>
  <c r="IT82" i="5"/>
  <c r="IU82" i="5"/>
  <c r="IV82" i="5"/>
  <c r="A81" i="5"/>
  <c r="B81" i="5"/>
  <c r="C81" i="5"/>
  <c r="D81" i="5"/>
  <c r="E81" i="5"/>
  <c r="F81" i="5"/>
  <c r="G81" i="5"/>
  <c r="H81" i="5"/>
  <c r="I81" i="5"/>
  <c r="J81" i="5"/>
  <c r="K81" i="5"/>
  <c r="L81" i="5"/>
  <c r="M81" i="5"/>
  <c r="N81" i="5"/>
  <c r="O81" i="5"/>
  <c r="P81" i="5"/>
  <c r="Q81" i="5"/>
  <c r="R81" i="5"/>
  <c r="S81" i="5"/>
  <c r="T81" i="5"/>
  <c r="U81" i="5"/>
  <c r="V81" i="5"/>
  <c r="W81" i="5"/>
  <c r="X81" i="5"/>
  <c r="Y81" i="5"/>
  <c r="Z81" i="5"/>
  <c r="AA81" i="5"/>
  <c r="AB81" i="5"/>
  <c r="AC81" i="5"/>
  <c r="AD81" i="5"/>
  <c r="AE81" i="5"/>
  <c r="AF81" i="5"/>
  <c r="AG81" i="5"/>
  <c r="AH81" i="5"/>
  <c r="AI81" i="5"/>
  <c r="AJ81" i="5"/>
  <c r="AK81" i="5"/>
  <c r="AL81" i="5"/>
  <c r="AM81" i="5"/>
  <c r="AN81" i="5"/>
  <c r="AO81" i="5"/>
  <c r="AP81" i="5"/>
  <c r="AQ81" i="5"/>
  <c r="AR81" i="5"/>
  <c r="AS81" i="5"/>
  <c r="AT81" i="5"/>
  <c r="AU81" i="5"/>
  <c r="AV81" i="5"/>
  <c r="AW81" i="5"/>
  <c r="AX81" i="5"/>
  <c r="AY81" i="5"/>
  <c r="AZ81" i="5"/>
  <c r="BA81" i="5"/>
  <c r="BB81" i="5"/>
  <c r="BC81" i="5"/>
  <c r="BD81" i="5"/>
  <c r="BE81" i="5"/>
  <c r="BF81" i="5"/>
  <c r="BG81" i="5"/>
  <c r="BH81" i="5"/>
  <c r="BI81" i="5"/>
  <c r="BJ81" i="5"/>
  <c r="BK81" i="5"/>
  <c r="BL81" i="5"/>
  <c r="BM81" i="5"/>
  <c r="BN81" i="5"/>
  <c r="BO81" i="5"/>
  <c r="BP81" i="5"/>
  <c r="BQ81" i="5"/>
  <c r="BR81" i="5"/>
  <c r="BS81" i="5"/>
  <c r="BT81" i="5"/>
  <c r="BU81" i="5"/>
  <c r="BV81" i="5"/>
  <c r="BW81" i="5"/>
  <c r="BX81" i="5"/>
  <c r="BY81" i="5"/>
  <c r="BZ81" i="5"/>
  <c r="CA81" i="5"/>
  <c r="CB81" i="5"/>
  <c r="CC81" i="5"/>
  <c r="CD81" i="5"/>
  <c r="CE81" i="5"/>
  <c r="CF81" i="5"/>
  <c r="CG81" i="5"/>
  <c r="CH81" i="5"/>
  <c r="CI81" i="5"/>
  <c r="CJ81" i="5"/>
  <c r="CK81" i="5"/>
  <c r="CL81" i="5"/>
  <c r="CM81" i="5"/>
  <c r="CN81" i="5"/>
  <c r="CO81" i="5"/>
  <c r="CP81" i="5"/>
  <c r="CQ81" i="5"/>
  <c r="CR81" i="5"/>
  <c r="CS81" i="5"/>
  <c r="CT81" i="5"/>
  <c r="CU81" i="5"/>
  <c r="CV81" i="5"/>
  <c r="CW81" i="5"/>
  <c r="CX81" i="5"/>
  <c r="CY81" i="5"/>
  <c r="CZ81" i="5"/>
  <c r="DA81" i="5"/>
  <c r="DB81" i="5"/>
  <c r="DC81" i="5"/>
  <c r="DD81" i="5"/>
  <c r="DE81" i="5"/>
  <c r="DF81" i="5"/>
  <c r="DG81" i="5"/>
  <c r="DH81" i="5"/>
  <c r="DI81" i="5"/>
  <c r="DJ81" i="5"/>
  <c r="DK81" i="5"/>
  <c r="DL81" i="5"/>
  <c r="DM81" i="5"/>
  <c r="DN81" i="5"/>
  <c r="DO81" i="5"/>
  <c r="DP81" i="5"/>
  <c r="DQ81" i="5"/>
  <c r="DR81" i="5"/>
  <c r="DS81" i="5"/>
  <c r="DT81" i="5"/>
  <c r="DU81" i="5"/>
  <c r="DV81" i="5"/>
  <c r="DW81" i="5"/>
  <c r="DX81" i="5"/>
  <c r="DY81" i="5"/>
  <c r="DZ81" i="5"/>
  <c r="EA81" i="5"/>
  <c r="EB81" i="5"/>
  <c r="EC81" i="5"/>
  <c r="ED81" i="5"/>
  <c r="EE81" i="5"/>
  <c r="EF81" i="5"/>
  <c r="EG81" i="5"/>
  <c r="EH81" i="5"/>
  <c r="EI81" i="5"/>
  <c r="EJ81" i="5"/>
  <c r="EK81" i="5"/>
  <c r="EL81" i="5"/>
  <c r="EM81" i="5"/>
  <c r="EN81" i="5"/>
  <c r="EO81" i="5"/>
  <c r="EP81" i="5"/>
  <c r="EQ81" i="5"/>
  <c r="ER81" i="5"/>
  <c r="ES81" i="5"/>
  <c r="ET81" i="5"/>
  <c r="EU81" i="5"/>
  <c r="EV81" i="5"/>
  <c r="EW81" i="5"/>
  <c r="EX81" i="5"/>
  <c r="EY81" i="5"/>
  <c r="EZ81" i="5"/>
  <c r="FA81" i="5"/>
  <c r="FB81" i="5"/>
  <c r="FC81" i="5"/>
  <c r="FD81" i="5"/>
  <c r="FE81" i="5"/>
  <c r="FF81" i="5"/>
  <c r="FG81" i="5"/>
  <c r="FH81" i="5"/>
  <c r="FI81" i="5"/>
  <c r="FJ81" i="5"/>
  <c r="FK81" i="5"/>
  <c r="FL81" i="5"/>
  <c r="FM81" i="5"/>
  <c r="FN81" i="5"/>
  <c r="FO81" i="5"/>
  <c r="FP81" i="5"/>
  <c r="FQ81" i="5"/>
  <c r="FR81" i="5"/>
  <c r="FS81" i="5"/>
  <c r="FT81" i="5"/>
  <c r="FU81" i="5"/>
  <c r="FV81" i="5"/>
  <c r="FW81" i="5"/>
  <c r="FX81" i="5"/>
  <c r="FY81" i="5"/>
  <c r="FZ81" i="5"/>
  <c r="GA81" i="5"/>
  <c r="GB81" i="5"/>
  <c r="GC81" i="5"/>
  <c r="GD81" i="5"/>
  <c r="GE81" i="5"/>
  <c r="GF81" i="5"/>
  <c r="GG81" i="5"/>
  <c r="GH81" i="5"/>
  <c r="GI81" i="5"/>
  <c r="GJ81" i="5"/>
  <c r="GK81" i="5"/>
  <c r="GL81" i="5"/>
  <c r="GM81" i="5"/>
  <c r="GN81" i="5"/>
  <c r="GO81" i="5"/>
  <c r="GP81" i="5"/>
  <c r="GQ81" i="5"/>
  <c r="GR81" i="5"/>
  <c r="GS81" i="5"/>
  <c r="GT81" i="5"/>
  <c r="GU81" i="5"/>
  <c r="GV81" i="5"/>
  <c r="GW81" i="5"/>
  <c r="GX81" i="5"/>
  <c r="GY81" i="5"/>
  <c r="GZ81" i="5"/>
  <c r="HA81" i="5"/>
  <c r="HB81" i="5"/>
  <c r="HC81" i="5"/>
  <c r="HD81" i="5"/>
  <c r="HE81" i="5"/>
  <c r="HF81" i="5"/>
  <c r="HG81" i="5"/>
  <c r="HH81" i="5"/>
  <c r="HI81" i="5"/>
  <c r="HJ81" i="5"/>
  <c r="HK81" i="5"/>
  <c r="HL81" i="5"/>
  <c r="HM81" i="5"/>
  <c r="HN81" i="5"/>
  <c r="HO81" i="5"/>
  <c r="HP81" i="5"/>
  <c r="HQ81" i="5"/>
  <c r="HR81" i="5"/>
  <c r="HS81" i="5"/>
  <c r="HT81" i="5"/>
  <c r="HU81" i="5"/>
  <c r="HV81" i="5"/>
  <c r="HW81" i="5"/>
  <c r="HX81" i="5"/>
  <c r="HY81" i="5"/>
  <c r="HZ81" i="5"/>
  <c r="IA81" i="5"/>
  <c r="IB81" i="5"/>
  <c r="IC81" i="5"/>
  <c r="ID81" i="5"/>
  <c r="IE81" i="5"/>
  <c r="IF81" i="5"/>
  <c r="IG81" i="5"/>
  <c r="IH81" i="5"/>
  <c r="II81" i="5"/>
  <c r="IJ81" i="5"/>
  <c r="IK81" i="5"/>
  <c r="IL81" i="5"/>
  <c r="IM81" i="5"/>
  <c r="IN81" i="5"/>
  <c r="IO81" i="5"/>
  <c r="IP81" i="5"/>
  <c r="IQ81" i="5"/>
  <c r="IR81" i="5"/>
  <c r="IS81" i="5"/>
  <c r="IT81" i="5"/>
  <c r="IU81" i="5"/>
  <c r="IV81" i="5"/>
  <c r="A80" i="5"/>
  <c r="B80" i="5"/>
  <c r="C80" i="5"/>
  <c r="D80" i="5"/>
  <c r="E80" i="5"/>
  <c r="F80" i="5"/>
  <c r="G80" i="5"/>
  <c r="H80" i="5"/>
  <c r="I80" i="5"/>
  <c r="J80" i="5"/>
  <c r="K80" i="5"/>
  <c r="L80" i="5"/>
  <c r="M80" i="5"/>
  <c r="N80" i="5"/>
  <c r="O80" i="5"/>
  <c r="P80" i="5"/>
  <c r="Q80" i="5"/>
  <c r="R80" i="5"/>
  <c r="S80" i="5"/>
  <c r="T80" i="5"/>
  <c r="U80" i="5"/>
  <c r="V80" i="5"/>
  <c r="W80" i="5"/>
  <c r="X80" i="5"/>
  <c r="Y80" i="5"/>
  <c r="Z80" i="5"/>
  <c r="AA80" i="5"/>
  <c r="AB80" i="5"/>
  <c r="AC80" i="5"/>
  <c r="AD80" i="5"/>
  <c r="AE80" i="5"/>
  <c r="AF80" i="5"/>
  <c r="AG80" i="5"/>
  <c r="AH80" i="5"/>
  <c r="AI80" i="5"/>
  <c r="AJ80" i="5"/>
  <c r="AK80" i="5"/>
  <c r="AL80" i="5"/>
  <c r="AM80" i="5"/>
  <c r="AN80" i="5"/>
  <c r="AO80" i="5"/>
  <c r="AP80" i="5"/>
  <c r="AQ80" i="5"/>
  <c r="AR80" i="5"/>
  <c r="AS80" i="5"/>
  <c r="AT80" i="5"/>
  <c r="AU80" i="5"/>
  <c r="AV80" i="5"/>
  <c r="AW80" i="5"/>
  <c r="AX80" i="5"/>
  <c r="AZ80" i="5"/>
  <c r="BA80" i="5"/>
  <c r="BB80" i="5"/>
  <c r="BC80" i="5"/>
  <c r="BD80" i="5"/>
  <c r="BE80" i="5"/>
  <c r="BF80" i="5"/>
  <c r="BG80" i="5"/>
  <c r="BH80" i="5"/>
  <c r="BI80" i="5"/>
  <c r="BJ80" i="5"/>
  <c r="BK80" i="5"/>
  <c r="BL80" i="5"/>
  <c r="BM80" i="5"/>
  <c r="BN80" i="5"/>
  <c r="BO80" i="5"/>
  <c r="BP80" i="5"/>
  <c r="BQ80" i="5"/>
  <c r="BR80" i="5"/>
  <c r="BS80" i="5"/>
  <c r="BT80" i="5"/>
  <c r="BU80" i="5"/>
  <c r="BV80" i="5"/>
  <c r="BW80" i="5"/>
  <c r="BX80" i="5"/>
  <c r="BY80" i="5"/>
  <c r="BZ80" i="5"/>
  <c r="CA80" i="5"/>
  <c r="CB80" i="5"/>
  <c r="CC80" i="5"/>
  <c r="CD80" i="5"/>
  <c r="CE80" i="5"/>
  <c r="CF80" i="5"/>
  <c r="CG80" i="5"/>
  <c r="CH80" i="5"/>
  <c r="CI80" i="5"/>
  <c r="CJ80" i="5"/>
  <c r="CK80" i="5"/>
  <c r="CL80" i="5"/>
  <c r="CM80" i="5"/>
  <c r="CN80" i="5"/>
  <c r="CO80" i="5"/>
  <c r="CP80" i="5"/>
  <c r="CQ80" i="5"/>
  <c r="CR80" i="5"/>
  <c r="CS80" i="5"/>
  <c r="CT80" i="5"/>
  <c r="CU80" i="5"/>
  <c r="CV80" i="5"/>
  <c r="CW80" i="5"/>
  <c r="CX80" i="5"/>
  <c r="CY80" i="5"/>
  <c r="CZ80" i="5"/>
  <c r="DA80" i="5"/>
  <c r="DB80" i="5"/>
  <c r="DC80" i="5"/>
  <c r="DD80" i="5"/>
  <c r="DE80" i="5"/>
  <c r="DF80" i="5"/>
  <c r="DG80" i="5"/>
  <c r="DH80" i="5"/>
  <c r="DI80" i="5"/>
  <c r="DJ80" i="5"/>
  <c r="DK80" i="5"/>
  <c r="DL80" i="5"/>
  <c r="DM80" i="5"/>
  <c r="DN80" i="5"/>
  <c r="DO80" i="5"/>
  <c r="DP80" i="5"/>
  <c r="DQ80" i="5"/>
  <c r="DR80" i="5"/>
  <c r="DS80" i="5"/>
  <c r="DT80" i="5"/>
  <c r="DU80" i="5"/>
  <c r="DV80" i="5"/>
  <c r="DW80" i="5"/>
  <c r="DX80" i="5"/>
  <c r="DY80" i="5"/>
  <c r="DZ80" i="5"/>
  <c r="EA80" i="5"/>
  <c r="EB80" i="5"/>
  <c r="EC80" i="5"/>
  <c r="ED80" i="5"/>
  <c r="EE80" i="5"/>
  <c r="EF80" i="5"/>
  <c r="EG80" i="5"/>
  <c r="EH80" i="5"/>
  <c r="EI80" i="5"/>
  <c r="EJ80" i="5"/>
  <c r="EK80" i="5"/>
  <c r="EL80" i="5"/>
  <c r="EM80" i="5"/>
  <c r="EN80" i="5"/>
  <c r="EO80" i="5"/>
  <c r="EP80" i="5"/>
  <c r="EQ80" i="5"/>
  <c r="ER80" i="5"/>
  <c r="ES80" i="5"/>
  <c r="ET80" i="5"/>
  <c r="EU80" i="5"/>
  <c r="EV80" i="5"/>
  <c r="EW80" i="5"/>
  <c r="EX80" i="5"/>
  <c r="EY80" i="5"/>
  <c r="EZ80" i="5"/>
  <c r="FA80" i="5"/>
  <c r="FB80" i="5"/>
  <c r="FC80" i="5"/>
  <c r="FD80" i="5"/>
  <c r="FE80" i="5"/>
  <c r="FF80" i="5"/>
  <c r="FG80" i="5"/>
  <c r="FH80" i="5"/>
  <c r="FI80" i="5"/>
  <c r="FJ80" i="5"/>
  <c r="FK80" i="5"/>
  <c r="FL80" i="5"/>
  <c r="FM80" i="5"/>
  <c r="FN80" i="5"/>
  <c r="FO80" i="5"/>
  <c r="FP80" i="5"/>
  <c r="FQ80" i="5"/>
  <c r="FR80" i="5"/>
  <c r="FS80" i="5"/>
  <c r="FT80" i="5"/>
  <c r="FU80" i="5"/>
  <c r="FV80" i="5"/>
  <c r="FW80" i="5"/>
  <c r="FX80" i="5"/>
  <c r="FY80" i="5"/>
  <c r="FZ80" i="5"/>
  <c r="GA80" i="5"/>
  <c r="GB80" i="5"/>
  <c r="GC80" i="5"/>
  <c r="GD80" i="5"/>
  <c r="GE80" i="5"/>
  <c r="GF80" i="5"/>
  <c r="GG80" i="5"/>
  <c r="GH80" i="5"/>
  <c r="GI80" i="5"/>
  <c r="GJ80" i="5"/>
  <c r="GK80" i="5"/>
  <c r="GL80" i="5"/>
  <c r="GM80" i="5"/>
  <c r="GN80" i="5"/>
  <c r="GO80" i="5"/>
  <c r="GP80" i="5"/>
  <c r="GQ80" i="5"/>
  <c r="GR80" i="5"/>
  <c r="GS80" i="5"/>
  <c r="GT80" i="5"/>
  <c r="GU80" i="5"/>
  <c r="GV80" i="5"/>
  <c r="GW80" i="5"/>
  <c r="GX80" i="5"/>
  <c r="GY80" i="5"/>
  <c r="GZ80" i="5"/>
  <c r="HA80" i="5"/>
  <c r="HB80" i="5"/>
  <c r="HC80" i="5"/>
  <c r="HD80" i="5"/>
  <c r="HE80" i="5"/>
  <c r="HF80" i="5"/>
  <c r="HG80" i="5"/>
  <c r="HH80" i="5"/>
  <c r="HI80" i="5"/>
  <c r="HJ80" i="5"/>
  <c r="HK80" i="5"/>
  <c r="HL80" i="5"/>
  <c r="HM80" i="5"/>
  <c r="HN80" i="5"/>
  <c r="HO80" i="5"/>
  <c r="HP80" i="5"/>
  <c r="HQ80" i="5"/>
  <c r="HR80" i="5"/>
  <c r="HS80" i="5"/>
  <c r="HT80" i="5"/>
  <c r="HU80" i="5"/>
  <c r="HV80" i="5"/>
  <c r="HW80" i="5"/>
  <c r="HX80" i="5"/>
  <c r="HY80" i="5"/>
  <c r="HZ80" i="5"/>
  <c r="IA80" i="5"/>
  <c r="IB80" i="5"/>
  <c r="IC80" i="5"/>
  <c r="ID80" i="5"/>
  <c r="IE80" i="5"/>
  <c r="IF80" i="5"/>
  <c r="IG80" i="5"/>
  <c r="IH80" i="5"/>
  <c r="II80" i="5"/>
  <c r="IJ80" i="5"/>
  <c r="IK80" i="5"/>
  <c r="IL80" i="5"/>
  <c r="IM80" i="5"/>
  <c r="IN80" i="5"/>
  <c r="IO80" i="5"/>
  <c r="IP80" i="5"/>
  <c r="IQ80" i="5"/>
  <c r="IR80" i="5"/>
  <c r="IS80" i="5"/>
  <c r="IT80" i="5"/>
  <c r="IU80" i="5"/>
  <c r="IV80" i="5"/>
  <c r="A79" i="5"/>
  <c r="B79" i="5"/>
  <c r="C79" i="5"/>
  <c r="D79" i="5"/>
  <c r="E79" i="5"/>
  <c r="F79" i="5"/>
  <c r="G79" i="5"/>
  <c r="H79" i="5"/>
  <c r="I79" i="5"/>
  <c r="J79" i="5"/>
  <c r="K79" i="5"/>
  <c r="L79" i="5"/>
  <c r="M79" i="5"/>
  <c r="N79" i="5"/>
  <c r="O79" i="5"/>
  <c r="P79" i="5"/>
  <c r="Q79" i="5"/>
  <c r="R79" i="5"/>
  <c r="S79" i="5"/>
  <c r="T79" i="5"/>
  <c r="U79" i="5"/>
  <c r="V79" i="5"/>
  <c r="W79" i="5"/>
  <c r="X79" i="5"/>
  <c r="Y79" i="5"/>
  <c r="Z79" i="5"/>
  <c r="AA79" i="5"/>
  <c r="AB79" i="5"/>
  <c r="AC79" i="5"/>
  <c r="AD79" i="5"/>
  <c r="AE79" i="5"/>
  <c r="AF79" i="5"/>
  <c r="AG79" i="5"/>
  <c r="AH79" i="5"/>
  <c r="AI79" i="5"/>
  <c r="AJ79" i="5"/>
  <c r="AK79" i="5"/>
  <c r="AL79" i="5"/>
  <c r="AM79" i="5"/>
  <c r="AN79" i="5"/>
  <c r="AO79" i="5"/>
  <c r="AP79" i="5"/>
  <c r="AQ79" i="5"/>
  <c r="AR79" i="5"/>
  <c r="AS79" i="5"/>
  <c r="AT79" i="5"/>
  <c r="AU79" i="5"/>
  <c r="AV79" i="5"/>
  <c r="AW79" i="5"/>
  <c r="AX79" i="5"/>
  <c r="AY79" i="5"/>
  <c r="AZ79" i="5"/>
  <c r="BA79" i="5"/>
  <c r="BB79" i="5"/>
  <c r="BC79" i="5"/>
  <c r="BD79" i="5"/>
  <c r="BE79" i="5"/>
  <c r="BF79" i="5"/>
  <c r="BG79" i="5"/>
  <c r="BH79" i="5"/>
  <c r="BI79" i="5"/>
  <c r="BJ79" i="5"/>
  <c r="BK79" i="5"/>
  <c r="BL79" i="5"/>
  <c r="BM79" i="5"/>
  <c r="BN79" i="5"/>
  <c r="BO79" i="5"/>
  <c r="BP79" i="5"/>
  <c r="BQ79" i="5"/>
  <c r="BR79" i="5"/>
  <c r="BS79" i="5"/>
  <c r="BT79" i="5"/>
  <c r="BU79" i="5"/>
  <c r="BV79" i="5"/>
  <c r="BW79" i="5"/>
  <c r="BX79" i="5"/>
  <c r="BY79" i="5"/>
  <c r="BZ79" i="5"/>
  <c r="CA79" i="5"/>
  <c r="CB79" i="5"/>
  <c r="CC79" i="5"/>
  <c r="CD79" i="5"/>
  <c r="CE79" i="5"/>
  <c r="CF79" i="5"/>
  <c r="CG79" i="5"/>
  <c r="CH79" i="5"/>
  <c r="CI79" i="5"/>
  <c r="CJ79" i="5"/>
  <c r="CK79" i="5"/>
  <c r="CL79" i="5"/>
  <c r="CM79" i="5"/>
  <c r="CN79" i="5"/>
  <c r="CO79" i="5"/>
  <c r="CP79" i="5"/>
  <c r="CQ79" i="5"/>
  <c r="CR79" i="5"/>
  <c r="CS79" i="5"/>
  <c r="CT79" i="5"/>
  <c r="CU79" i="5"/>
  <c r="CV79" i="5"/>
  <c r="CW79" i="5"/>
  <c r="CX79" i="5"/>
  <c r="CY79" i="5"/>
  <c r="CZ79" i="5"/>
  <c r="DA79" i="5"/>
  <c r="DB79" i="5"/>
  <c r="DC79" i="5"/>
  <c r="DD79" i="5"/>
  <c r="DE79" i="5"/>
  <c r="DF79" i="5"/>
  <c r="DG79" i="5"/>
  <c r="DH79" i="5"/>
  <c r="DI79" i="5"/>
  <c r="DJ79" i="5"/>
  <c r="DK79" i="5"/>
  <c r="DL79" i="5"/>
  <c r="DM79" i="5"/>
  <c r="DN79" i="5"/>
  <c r="DO79" i="5"/>
  <c r="DP79" i="5"/>
  <c r="DQ79" i="5"/>
  <c r="DR79" i="5"/>
  <c r="DS79" i="5"/>
  <c r="DT79" i="5"/>
  <c r="DU79" i="5"/>
  <c r="DV79" i="5"/>
  <c r="DW79" i="5"/>
  <c r="DX79" i="5"/>
  <c r="DY79" i="5"/>
  <c r="DZ79" i="5"/>
  <c r="EA79" i="5"/>
  <c r="EB79" i="5"/>
  <c r="EC79" i="5"/>
  <c r="ED79" i="5"/>
  <c r="EE79" i="5"/>
  <c r="EF79" i="5"/>
  <c r="EG79" i="5"/>
  <c r="EH79" i="5"/>
  <c r="EI79" i="5"/>
  <c r="EJ79" i="5"/>
  <c r="EK79" i="5"/>
  <c r="EL79" i="5"/>
  <c r="EM79" i="5"/>
  <c r="EN79" i="5"/>
  <c r="EO79" i="5"/>
  <c r="EP79" i="5"/>
  <c r="EQ79" i="5"/>
  <c r="ER79" i="5"/>
  <c r="ES79" i="5"/>
  <c r="ET79" i="5"/>
  <c r="EU79" i="5"/>
  <c r="EV79" i="5"/>
  <c r="EW79" i="5"/>
  <c r="EX79" i="5"/>
  <c r="EY79" i="5"/>
  <c r="EZ79" i="5"/>
  <c r="FA79" i="5"/>
  <c r="FB79" i="5"/>
  <c r="FC79" i="5"/>
  <c r="FD79" i="5"/>
  <c r="FE79" i="5"/>
  <c r="FF79" i="5"/>
  <c r="FG79" i="5"/>
  <c r="FH79" i="5"/>
  <c r="FI79" i="5"/>
  <c r="FJ79" i="5"/>
  <c r="FK79" i="5"/>
  <c r="FL79" i="5"/>
  <c r="FM79" i="5"/>
  <c r="FN79" i="5"/>
  <c r="FO79" i="5"/>
  <c r="FP79" i="5"/>
  <c r="FQ79" i="5"/>
  <c r="FR79" i="5"/>
  <c r="FS79" i="5"/>
  <c r="FT79" i="5"/>
  <c r="FU79" i="5"/>
  <c r="FV79" i="5"/>
  <c r="FW79" i="5"/>
  <c r="FX79" i="5"/>
  <c r="FY79" i="5"/>
  <c r="FZ79" i="5"/>
  <c r="GA79" i="5"/>
  <c r="GB79" i="5"/>
  <c r="GC79" i="5"/>
  <c r="GD79" i="5"/>
  <c r="GE79" i="5"/>
  <c r="GF79" i="5"/>
  <c r="GG79" i="5"/>
  <c r="GH79" i="5"/>
  <c r="GI79" i="5"/>
  <c r="GJ79" i="5"/>
  <c r="GK79" i="5"/>
  <c r="GL79" i="5"/>
  <c r="GM79" i="5"/>
  <c r="GN79" i="5"/>
  <c r="GO79" i="5"/>
  <c r="GP79" i="5"/>
  <c r="GQ79" i="5"/>
  <c r="GR79" i="5"/>
  <c r="GS79" i="5"/>
  <c r="GT79" i="5"/>
  <c r="GU79" i="5"/>
  <c r="GV79" i="5"/>
  <c r="GW79" i="5"/>
  <c r="GX79" i="5"/>
  <c r="GY79" i="5"/>
  <c r="GZ79" i="5"/>
  <c r="HA79" i="5"/>
  <c r="HB79" i="5"/>
  <c r="HC79" i="5"/>
  <c r="HD79" i="5"/>
  <c r="HE79" i="5"/>
  <c r="HF79" i="5"/>
  <c r="HG79" i="5"/>
  <c r="HH79" i="5"/>
  <c r="HI79" i="5"/>
  <c r="HJ79" i="5"/>
  <c r="HK79" i="5"/>
  <c r="HL79" i="5"/>
  <c r="HM79" i="5"/>
  <c r="HN79" i="5"/>
  <c r="HO79" i="5"/>
  <c r="HP79" i="5"/>
  <c r="HQ79" i="5"/>
  <c r="HR79" i="5"/>
  <c r="HS79" i="5"/>
  <c r="HT79" i="5"/>
  <c r="HU79" i="5"/>
  <c r="HV79" i="5"/>
  <c r="HW79" i="5"/>
  <c r="HX79" i="5"/>
  <c r="HY79" i="5"/>
  <c r="HZ79" i="5"/>
  <c r="IA79" i="5"/>
  <c r="IB79" i="5"/>
  <c r="IC79" i="5"/>
  <c r="ID79" i="5"/>
  <c r="IE79" i="5"/>
  <c r="IF79" i="5"/>
  <c r="IG79" i="5"/>
  <c r="IH79" i="5"/>
  <c r="II79" i="5"/>
  <c r="IJ79" i="5"/>
  <c r="IK79" i="5"/>
  <c r="IL79" i="5"/>
  <c r="IM79" i="5"/>
  <c r="IN79" i="5"/>
  <c r="IO79" i="5"/>
  <c r="IP79" i="5"/>
  <c r="IQ79" i="5"/>
  <c r="IR79" i="5"/>
  <c r="IS79" i="5"/>
  <c r="IT79" i="5"/>
  <c r="IU79" i="5"/>
  <c r="IV79" i="5"/>
  <c r="A78" i="5"/>
  <c r="B78" i="5"/>
  <c r="C78" i="5"/>
  <c r="D78" i="5"/>
  <c r="E78" i="5"/>
  <c r="F78" i="5"/>
  <c r="G78" i="5"/>
  <c r="H78" i="5"/>
  <c r="I78" i="5"/>
  <c r="J78" i="5"/>
  <c r="K78" i="5"/>
  <c r="L78" i="5"/>
  <c r="M78" i="5"/>
  <c r="N78" i="5"/>
  <c r="O78" i="5"/>
  <c r="P78" i="5"/>
  <c r="Q78" i="5"/>
  <c r="R78" i="5"/>
  <c r="S78" i="5"/>
  <c r="T78" i="5"/>
  <c r="U78" i="5"/>
  <c r="V78" i="5"/>
  <c r="W78" i="5"/>
  <c r="X78" i="5"/>
  <c r="Y78" i="5"/>
  <c r="Z78" i="5"/>
  <c r="AA78" i="5"/>
  <c r="AB78" i="5"/>
  <c r="AC78" i="5"/>
  <c r="AD78" i="5"/>
  <c r="AE78" i="5"/>
  <c r="AF78" i="5"/>
  <c r="AG78" i="5"/>
  <c r="AH78" i="5"/>
  <c r="AI78" i="5"/>
  <c r="AJ78" i="5"/>
  <c r="AK78" i="5"/>
  <c r="AL78" i="5"/>
  <c r="AM78" i="5"/>
  <c r="AN78" i="5"/>
  <c r="AO78" i="5"/>
  <c r="AP78" i="5"/>
  <c r="AQ78" i="5"/>
  <c r="AR78" i="5"/>
  <c r="AS78" i="5"/>
  <c r="AT78" i="5"/>
  <c r="AU78" i="5"/>
  <c r="AV78" i="5"/>
  <c r="AW78" i="5"/>
  <c r="AX78" i="5"/>
  <c r="AY78" i="5"/>
  <c r="AZ78" i="5"/>
  <c r="BA78" i="5"/>
  <c r="BB78" i="5"/>
  <c r="BC78" i="5"/>
  <c r="BD78" i="5"/>
  <c r="BE78" i="5"/>
  <c r="BF78" i="5"/>
  <c r="BG78" i="5"/>
  <c r="BH78" i="5"/>
  <c r="BI78" i="5"/>
  <c r="BJ78" i="5"/>
  <c r="BK78" i="5"/>
  <c r="BL78" i="5"/>
  <c r="BM78" i="5"/>
  <c r="BN78" i="5"/>
  <c r="BO78" i="5"/>
  <c r="BP78" i="5"/>
  <c r="BQ78" i="5"/>
  <c r="BR78" i="5"/>
  <c r="BS78" i="5"/>
  <c r="BT78" i="5"/>
  <c r="BU78" i="5"/>
  <c r="BV78" i="5"/>
  <c r="BW78" i="5"/>
  <c r="BX78" i="5"/>
  <c r="BY78" i="5"/>
  <c r="BZ78" i="5"/>
  <c r="CA78" i="5"/>
  <c r="CB78" i="5"/>
  <c r="CC78" i="5"/>
  <c r="CD78" i="5"/>
  <c r="CE78" i="5"/>
  <c r="CF78" i="5"/>
  <c r="CG78" i="5"/>
  <c r="CH78" i="5"/>
  <c r="CI78" i="5"/>
  <c r="CJ78" i="5"/>
  <c r="CK78" i="5"/>
  <c r="CL78" i="5"/>
  <c r="CM78" i="5"/>
  <c r="CN78" i="5"/>
  <c r="CO78" i="5"/>
  <c r="CP78" i="5"/>
  <c r="CQ78" i="5"/>
  <c r="CR78" i="5"/>
  <c r="CS78" i="5"/>
  <c r="CT78" i="5"/>
  <c r="CU78" i="5"/>
  <c r="CV78" i="5"/>
  <c r="CW78" i="5"/>
  <c r="CX78" i="5"/>
  <c r="CY78" i="5"/>
  <c r="CZ78" i="5"/>
  <c r="DA78" i="5"/>
  <c r="DB78" i="5"/>
  <c r="DC78" i="5"/>
  <c r="DD78" i="5"/>
  <c r="DE78" i="5"/>
  <c r="DF78" i="5"/>
  <c r="DG78" i="5"/>
  <c r="DH78" i="5"/>
  <c r="DI78" i="5"/>
  <c r="DJ78" i="5"/>
  <c r="DK78" i="5"/>
  <c r="DL78" i="5"/>
  <c r="DM78" i="5"/>
  <c r="DN78" i="5"/>
  <c r="DO78" i="5"/>
  <c r="DP78" i="5"/>
  <c r="DQ78" i="5"/>
  <c r="DR78" i="5"/>
  <c r="DS78" i="5"/>
  <c r="DT78" i="5"/>
  <c r="DU78" i="5"/>
  <c r="DV78" i="5"/>
  <c r="DW78" i="5"/>
  <c r="DX78" i="5"/>
  <c r="DY78" i="5"/>
  <c r="DZ78" i="5"/>
  <c r="EA78" i="5"/>
  <c r="EB78" i="5"/>
  <c r="EC78" i="5"/>
  <c r="ED78" i="5"/>
  <c r="EE78" i="5"/>
  <c r="EF78" i="5"/>
  <c r="EG78" i="5"/>
  <c r="EH78" i="5"/>
  <c r="EI78" i="5"/>
  <c r="EJ78" i="5"/>
  <c r="EK78" i="5"/>
  <c r="EL78" i="5"/>
  <c r="EM78" i="5"/>
  <c r="EN78" i="5"/>
  <c r="EO78" i="5"/>
  <c r="EP78" i="5"/>
  <c r="EQ78" i="5"/>
  <c r="ER78" i="5"/>
  <c r="ES78" i="5"/>
  <c r="ET78" i="5"/>
  <c r="EU78" i="5"/>
  <c r="EV78" i="5"/>
  <c r="EW78" i="5"/>
  <c r="EX78" i="5"/>
  <c r="EY78" i="5"/>
  <c r="EZ78" i="5"/>
  <c r="FA78" i="5"/>
  <c r="FB78" i="5"/>
  <c r="FC78" i="5"/>
  <c r="FD78" i="5"/>
  <c r="FE78" i="5"/>
  <c r="FF78" i="5"/>
  <c r="FG78" i="5"/>
  <c r="FH78" i="5"/>
  <c r="FI78" i="5"/>
  <c r="FJ78" i="5"/>
  <c r="FK78" i="5"/>
  <c r="FL78" i="5"/>
  <c r="FM78" i="5"/>
  <c r="FN78" i="5"/>
  <c r="FO78" i="5"/>
  <c r="FP78" i="5"/>
  <c r="FQ78" i="5"/>
  <c r="FR78" i="5"/>
  <c r="FS78" i="5"/>
  <c r="FT78" i="5"/>
  <c r="FU78" i="5"/>
  <c r="FV78" i="5"/>
  <c r="FW78" i="5"/>
  <c r="FX78" i="5"/>
  <c r="FY78" i="5"/>
  <c r="FZ78" i="5"/>
  <c r="GA78" i="5"/>
  <c r="GB78" i="5"/>
  <c r="GC78" i="5"/>
  <c r="GD78" i="5"/>
  <c r="GE78" i="5"/>
  <c r="GF78" i="5"/>
  <c r="GG78" i="5"/>
  <c r="GH78" i="5"/>
  <c r="GI78" i="5"/>
  <c r="GJ78" i="5"/>
  <c r="GK78" i="5"/>
  <c r="GL78" i="5"/>
  <c r="GM78" i="5"/>
  <c r="GN78" i="5"/>
  <c r="GO78" i="5"/>
  <c r="GP78" i="5"/>
  <c r="GQ78" i="5"/>
  <c r="GR78" i="5"/>
  <c r="GS78" i="5"/>
  <c r="GT78" i="5"/>
  <c r="GU78" i="5"/>
  <c r="GV78" i="5"/>
  <c r="GW78" i="5"/>
  <c r="GX78" i="5"/>
  <c r="GY78" i="5"/>
  <c r="GZ78" i="5"/>
  <c r="HA78" i="5"/>
  <c r="HB78" i="5"/>
  <c r="HC78" i="5"/>
  <c r="HD78" i="5"/>
  <c r="HE78" i="5"/>
  <c r="HF78" i="5"/>
  <c r="HG78" i="5"/>
  <c r="HH78" i="5"/>
  <c r="HI78" i="5"/>
  <c r="HJ78" i="5"/>
  <c r="HK78" i="5"/>
  <c r="HL78" i="5"/>
  <c r="HM78" i="5"/>
  <c r="HN78" i="5"/>
  <c r="HO78" i="5"/>
  <c r="HP78" i="5"/>
  <c r="HQ78" i="5"/>
  <c r="HR78" i="5"/>
  <c r="HS78" i="5"/>
  <c r="HT78" i="5"/>
  <c r="HU78" i="5"/>
  <c r="HV78" i="5"/>
  <c r="HW78" i="5"/>
  <c r="HX78" i="5"/>
  <c r="HY78" i="5"/>
  <c r="HZ78" i="5"/>
  <c r="IA78" i="5"/>
  <c r="IB78" i="5"/>
  <c r="IC78" i="5"/>
  <c r="ID78" i="5"/>
  <c r="IE78" i="5"/>
  <c r="IF78" i="5"/>
  <c r="IG78" i="5"/>
  <c r="IH78" i="5"/>
  <c r="II78" i="5"/>
  <c r="IJ78" i="5"/>
  <c r="IK78" i="5"/>
  <c r="IL78" i="5"/>
  <c r="IM78" i="5"/>
  <c r="IN78" i="5"/>
  <c r="IO78" i="5"/>
  <c r="IP78" i="5"/>
  <c r="IQ78" i="5"/>
  <c r="IR78" i="5"/>
  <c r="IS78" i="5"/>
  <c r="IT78" i="5"/>
  <c r="IU78" i="5"/>
  <c r="IV78" i="5"/>
  <c r="A77" i="5"/>
  <c r="B77" i="5"/>
  <c r="C77" i="5"/>
  <c r="D77" i="5"/>
  <c r="E77" i="5"/>
  <c r="F77" i="5"/>
  <c r="G77" i="5"/>
  <c r="H77" i="5"/>
  <c r="I77" i="5"/>
  <c r="J77" i="5"/>
  <c r="K77" i="5"/>
  <c r="L77" i="5"/>
  <c r="M77" i="5"/>
  <c r="N77" i="5"/>
  <c r="O77" i="5"/>
  <c r="P77" i="5"/>
  <c r="Q77" i="5"/>
  <c r="R77" i="5"/>
  <c r="S77" i="5"/>
  <c r="T77" i="5"/>
  <c r="U77" i="5"/>
  <c r="V77" i="5"/>
  <c r="W77" i="5"/>
  <c r="X77" i="5"/>
  <c r="Y77" i="5"/>
  <c r="Z77" i="5"/>
  <c r="AA77" i="5"/>
  <c r="AB77" i="5"/>
  <c r="AC77" i="5"/>
  <c r="AD77" i="5"/>
  <c r="AE77" i="5"/>
  <c r="AF77" i="5"/>
  <c r="AG77" i="5"/>
  <c r="AH77" i="5"/>
  <c r="AI77" i="5"/>
  <c r="AJ77" i="5"/>
  <c r="AK77" i="5"/>
  <c r="AL77" i="5"/>
  <c r="AM77" i="5"/>
  <c r="AN77" i="5"/>
  <c r="AO77" i="5"/>
  <c r="AP77" i="5"/>
  <c r="AQ77" i="5"/>
  <c r="AR77" i="5"/>
  <c r="AS77" i="5"/>
  <c r="AT77" i="5"/>
  <c r="AU77" i="5"/>
  <c r="AV77" i="5"/>
  <c r="AW77" i="5"/>
  <c r="AX77" i="5"/>
  <c r="AY77" i="5"/>
  <c r="AZ77" i="5"/>
  <c r="BA77" i="5"/>
  <c r="BB77" i="5"/>
  <c r="BC77" i="5"/>
  <c r="BD77" i="5"/>
  <c r="BE77" i="5"/>
  <c r="BF77" i="5"/>
  <c r="BG77" i="5"/>
  <c r="BH77" i="5"/>
  <c r="BI77" i="5"/>
  <c r="BJ77" i="5"/>
  <c r="BK77" i="5"/>
  <c r="BL77" i="5"/>
  <c r="BM77" i="5"/>
  <c r="BN77" i="5"/>
  <c r="BO77" i="5"/>
  <c r="BP77" i="5"/>
  <c r="BQ77" i="5"/>
  <c r="BR77" i="5"/>
  <c r="BS77" i="5"/>
  <c r="BT77" i="5"/>
  <c r="BU77" i="5"/>
  <c r="BV77" i="5"/>
  <c r="BW77" i="5"/>
  <c r="BX77" i="5"/>
  <c r="BY77" i="5"/>
  <c r="BZ77" i="5"/>
  <c r="CA77" i="5"/>
  <c r="CB77" i="5"/>
  <c r="CC77" i="5"/>
  <c r="CD77" i="5"/>
  <c r="CE77" i="5"/>
  <c r="CF77" i="5"/>
  <c r="CG77" i="5"/>
  <c r="CH77" i="5"/>
  <c r="CI77" i="5"/>
  <c r="CJ77" i="5"/>
  <c r="CK77" i="5"/>
  <c r="CL77" i="5"/>
  <c r="CM77" i="5"/>
  <c r="CN77" i="5"/>
  <c r="CO77" i="5"/>
  <c r="CP77" i="5"/>
  <c r="CQ77" i="5"/>
  <c r="CR77" i="5"/>
  <c r="CS77" i="5"/>
  <c r="CT77" i="5"/>
  <c r="CU77" i="5"/>
  <c r="CV77" i="5"/>
  <c r="CW77" i="5"/>
  <c r="CX77" i="5"/>
  <c r="CY77" i="5"/>
  <c r="CZ77" i="5"/>
  <c r="DA77" i="5"/>
  <c r="DB77" i="5"/>
  <c r="DC77" i="5"/>
  <c r="DD77" i="5"/>
  <c r="DE77" i="5"/>
  <c r="DF77" i="5"/>
  <c r="DG77" i="5"/>
  <c r="DH77" i="5"/>
  <c r="DI77" i="5"/>
  <c r="DJ77" i="5"/>
  <c r="DK77" i="5"/>
  <c r="DL77" i="5"/>
  <c r="DM77" i="5"/>
  <c r="DN77" i="5"/>
  <c r="DO77" i="5"/>
  <c r="DP77" i="5"/>
  <c r="DQ77" i="5"/>
  <c r="DR77" i="5"/>
  <c r="DS77" i="5"/>
  <c r="DT77" i="5"/>
  <c r="DU77" i="5"/>
  <c r="DV77" i="5"/>
  <c r="DW77" i="5"/>
  <c r="DX77" i="5"/>
  <c r="DY77" i="5"/>
  <c r="DZ77" i="5"/>
  <c r="EA77" i="5"/>
  <c r="EB77" i="5"/>
  <c r="EC77" i="5"/>
  <c r="ED77" i="5"/>
  <c r="EE77" i="5"/>
  <c r="EF77" i="5"/>
  <c r="EG77" i="5"/>
  <c r="EH77" i="5"/>
  <c r="EI77" i="5"/>
  <c r="EJ77" i="5"/>
  <c r="EK77" i="5"/>
  <c r="EL77" i="5"/>
  <c r="EM77" i="5"/>
  <c r="EN77" i="5"/>
  <c r="EO77" i="5"/>
  <c r="EP77" i="5"/>
  <c r="EQ77" i="5"/>
  <c r="ER77" i="5"/>
  <c r="ES77" i="5"/>
  <c r="ET77" i="5"/>
  <c r="EU77" i="5"/>
  <c r="EV77" i="5"/>
  <c r="EW77" i="5"/>
  <c r="EX77" i="5"/>
  <c r="EY77" i="5"/>
  <c r="EZ77" i="5"/>
  <c r="FA77" i="5"/>
  <c r="FB77" i="5"/>
  <c r="FC77" i="5"/>
  <c r="FD77" i="5"/>
  <c r="FE77" i="5"/>
  <c r="FF77" i="5"/>
  <c r="FG77" i="5"/>
  <c r="FH77" i="5"/>
  <c r="FI77" i="5"/>
  <c r="FJ77" i="5"/>
  <c r="FK77" i="5"/>
  <c r="FL77" i="5"/>
  <c r="FM77" i="5"/>
  <c r="FN77" i="5"/>
  <c r="FO77" i="5"/>
  <c r="FP77" i="5"/>
  <c r="FQ77" i="5"/>
  <c r="FR77" i="5"/>
  <c r="FS77" i="5"/>
  <c r="FT77" i="5"/>
  <c r="FU77" i="5"/>
  <c r="FV77" i="5"/>
  <c r="FW77" i="5"/>
  <c r="FX77" i="5"/>
  <c r="FY77" i="5"/>
  <c r="FZ77" i="5"/>
  <c r="GA77" i="5"/>
  <c r="GB77" i="5"/>
  <c r="GC77" i="5"/>
  <c r="GD77" i="5"/>
  <c r="GE77" i="5"/>
  <c r="GF77" i="5"/>
  <c r="GG77" i="5"/>
  <c r="GH77" i="5"/>
  <c r="GI77" i="5"/>
  <c r="GJ77" i="5"/>
  <c r="GK77" i="5"/>
  <c r="GL77" i="5"/>
  <c r="GM77" i="5"/>
  <c r="GN77" i="5"/>
  <c r="GO77" i="5"/>
  <c r="GP77" i="5"/>
  <c r="GQ77" i="5"/>
  <c r="GR77" i="5"/>
  <c r="GS77" i="5"/>
  <c r="GT77" i="5"/>
  <c r="GU77" i="5"/>
  <c r="GV77" i="5"/>
  <c r="GW77" i="5"/>
  <c r="GX77" i="5"/>
  <c r="GY77" i="5"/>
  <c r="GZ77" i="5"/>
  <c r="HA77" i="5"/>
  <c r="HB77" i="5"/>
  <c r="HC77" i="5"/>
  <c r="HD77" i="5"/>
  <c r="HE77" i="5"/>
  <c r="HF77" i="5"/>
  <c r="HG77" i="5"/>
  <c r="HH77" i="5"/>
  <c r="HI77" i="5"/>
  <c r="HJ77" i="5"/>
  <c r="HK77" i="5"/>
  <c r="HL77" i="5"/>
  <c r="HM77" i="5"/>
  <c r="HN77" i="5"/>
  <c r="HO77" i="5"/>
  <c r="HP77" i="5"/>
  <c r="HQ77" i="5"/>
  <c r="HR77" i="5"/>
  <c r="HS77" i="5"/>
  <c r="HT77" i="5"/>
  <c r="HU77" i="5"/>
  <c r="HV77" i="5"/>
  <c r="HW77" i="5"/>
  <c r="HX77" i="5"/>
  <c r="HY77" i="5"/>
  <c r="HZ77" i="5"/>
  <c r="IA77" i="5"/>
  <c r="IB77" i="5"/>
  <c r="IC77" i="5"/>
  <c r="ID77" i="5"/>
  <c r="IE77" i="5"/>
  <c r="IF77" i="5"/>
  <c r="IG77" i="5"/>
  <c r="IH77" i="5"/>
  <c r="II77" i="5"/>
  <c r="IJ77" i="5"/>
  <c r="IK77" i="5"/>
  <c r="IL77" i="5"/>
  <c r="IM77" i="5"/>
  <c r="IN77" i="5"/>
  <c r="IO77" i="5"/>
  <c r="IP77" i="5"/>
  <c r="IQ77" i="5"/>
  <c r="IR77" i="5"/>
  <c r="IS77" i="5"/>
  <c r="IT77" i="5"/>
  <c r="IU77" i="5"/>
  <c r="IV77" i="5"/>
  <c r="A76" i="5"/>
  <c r="B76" i="5"/>
  <c r="C76" i="5"/>
  <c r="D76" i="5"/>
  <c r="E76" i="5"/>
  <c r="F76" i="5"/>
  <c r="G76" i="5"/>
  <c r="H76" i="5"/>
  <c r="I76" i="5"/>
  <c r="J76" i="5"/>
  <c r="K76" i="5"/>
  <c r="L76" i="5"/>
  <c r="M76" i="5"/>
  <c r="N76" i="5"/>
  <c r="O76" i="5"/>
  <c r="P76" i="5"/>
  <c r="Q76" i="5"/>
  <c r="R76" i="5"/>
  <c r="S76" i="5"/>
  <c r="T76" i="5"/>
  <c r="U76" i="5"/>
  <c r="V76" i="5"/>
  <c r="W76" i="5"/>
  <c r="X76" i="5"/>
  <c r="Y76" i="5"/>
  <c r="Z76" i="5"/>
  <c r="AA76" i="5"/>
  <c r="AB76" i="5"/>
  <c r="AC76" i="5"/>
  <c r="AD76" i="5"/>
  <c r="AE76" i="5"/>
  <c r="AF76" i="5"/>
  <c r="AG76" i="5"/>
  <c r="AH76" i="5"/>
  <c r="AI76" i="5"/>
  <c r="AJ76" i="5"/>
  <c r="AK76" i="5"/>
  <c r="AL76" i="5"/>
  <c r="AM76" i="5"/>
  <c r="AN76" i="5"/>
  <c r="AO76" i="5"/>
  <c r="AP76" i="5"/>
  <c r="AQ76" i="5"/>
  <c r="AR76" i="5"/>
  <c r="AS76" i="5"/>
  <c r="AT76" i="5"/>
  <c r="AU76" i="5"/>
  <c r="AV76" i="5"/>
  <c r="AW76" i="5"/>
  <c r="AX76" i="5"/>
  <c r="AY76" i="5"/>
  <c r="AZ76" i="5"/>
  <c r="BA76" i="5"/>
  <c r="BB76" i="5"/>
  <c r="BC76" i="5"/>
  <c r="BD76" i="5"/>
  <c r="BE76" i="5"/>
  <c r="BF76" i="5"/>
  <c r="BG76" i="5"/>
  <c r="BH76" i="5"/>
  <c r="BI76" i="5"/>
  <c r="BJ76" i="5"/>
  <c r="BK76" i="5"/>
  <c r="BL76" i="5"/>
  <c r="BM76" i="5"/>
  <c r="BN76" i="5"/>
  <c r="BO76" i="5"/>
  <c r="BP76" i="5"/>
  <c r="BQ76" i="5"/>
  <c r="BR76" i="5"/>
  <c r="BS76" i="5"/>
  <c r="BT76" i="5"/>
  <c r="BU76" i="5"/>
  <c r="BV76" i="5"/>
  <c r="BW76" i="5"/>
  <c r="BX76" i="5"/>
  <c r="BY76" i="5"/>
  <c r="BZ76" i="5"/>
  <c r="CA76" i="5"/>
  <c r="CB76" i="5"/>
  <c r="CC76" i="5"/>
  <c r="CD76" i="5"/>
  <c r="CE76" i="5"/>
  <c r="CF76" i="5"/>
  <c r="CG76" i="5"/>
  <c r="CH76" i="5"/>
  <c r="CI76" i="5"/>
  <c r="CJ76" i="5"/>
  <c r="CK76" i="5"/>
  <c r="CL76" i="5"/>
  <c r="CM76" i="5"/>
  <c r="CN76" i="5"/>
  <c r="CO76" i="5"/>
  <c r="CP76" i="5"/>
  <c r="CQ76" i="5"/>
  <c r="CR76" i="5"/>
  <c r="CS76" i="5"/>
  <c r="CT76" i="5"/>
  <c r="CU76" i="5"/>
  <c r="CV76" i="5"/>
  <c r="CW76" i="5"/>
  <c r="CX76" i="5"/>
  <c r="CY76" i="5"/>
  <c r="CZ76" i="5"/>
  <c r="DA76" i="5"/>
  <c r="DB76" i="5"/>
  <c r="DC76" i="5"/>
  <c r="DD76" i="5"/>
  <c r="DE76" i="5"/>
  <c r="DF76" i="5"/>
  <c r="DG76" i="5"/>
  <c r="DH76" i="5"/>
  <c r="DI76" i="5"/>
  <c r="DJ76" i="5"/>
  <c r="DK76" i="5"/>
  <c r="DL76" i="5"/>
  <c r="DM76" i="5"/>
  <c r="DN76" i="5"/>
  <c r="DO76" i="5"/>
  <c r="DP76" i="5"/>
  <c r="DQ76" i="5"/>
  <c r="DR76" i="5"/>
  <c r="DS76" i="5"/>
  <c r="DT76" i="5"/>
  <c r="DU76" i="5"/>
  <c r="DV76" i="5"/>
  <c r="DW76" i="5"/>
  <c r="DX76" i="5"/>
  <c r="DY76" i="5"/>
  <c r="DZ76" i="5"/>
  <c r="EA76" i="5"/>
  <c r="EB76" i="5"/>
  <c r="EC76" i="5"/>
  <c r="ED76" i="5"/>
  <c r="EE76" i="5"/>
  <c r="EF76" i="5"/>
  <c r="EG76" i="5"/>
  <c r="EH76" i="5"/>
  <c r="EI76" i="5"/>
  <c r="EJ76" i="5"/>
  <c r="EK76" i="5"/>
  <c r="EL76" i="5"/>
  <c r="EM76" i="5"/>
  <c r="EN76" i="5"/>
  <c r="EO76" i="5"/>
  <c r="EP76" i="5"/>
  <c r="EQ76" i="5"/>
  <c r="ER76" i="5"/>
  <c r="ES76" i="5"/>
  <c r="ET76" i="5"/>
  <c r="EU76" i="5"/>
  <c r="EV76" i="5"/>
  <c r="EW76" i="5"/>
  <c r="EX76" i="5"/>
  <c r="EY76" i="5"/>
  <c r="EZ76" i="5"/>
  <c r="FA76" i="5"/>
  <c r="FB76" i="5"/>
  <c r="FC76" i="5"/>
  <c r="FD76" i="5"/>
  <c r="FE76" i="5"/>
  <c r="FF76" i="5"/>
  <c r="FG76" i="5"/>
  <c r="FH76" i="5"/>
  <c r="FI76" i="5"/>
  <c r="FJ76" i="5"/>
  <c r="FK76" i="5"/>
  <c r="FL76" i="5"/>
  <c r="FM76" i="5"/>
  <c r="FN76" i="5"/>
  <c r="FO76" i="5"/>
  <c r="FP76" i="5"/>
  <c r="FQ76" i="5"/>
  <c r="FR76" i="5"/>
  <c r="FS76" i="5"/>
  <c r="FT76" i="5"/>
  <c r="FU76" i="5"/>
  <c r="FV76" i="5"/>
  <c r="FW76" i="5"/>
  <c r="FX76" i="5"/>
  <c r="FY76" i="5"/>
  <c r="FZ76" i="5"/>
  <c r="GA76" i="5"/>
  <c r="GB76" i="5"/>
  <c r="GC76" i="5"/>
  <c r="GD76" i="5"/>
  <c r="GE76" i="5"/>
  <c r="GF76" i="5"/>
  <c r="GG76" i="5"/>
  <c r="GH76" i="5"/>
  <c r="GI76" i="5"/>
  <c r="GJ76" i="5"/>
  <c r="GK76" i="5"/>
  <c r="GL76" i="5"/>
  <c r="GM76" i="5"/>
  <c r="GN76" i="5"/>
  <c r="GO76" i="5"/>
  <c r="GP76" i="5"/>
  <c r="GQ76" i="5"/>
  <c r="GR76" i="5"/>
  <c r="GS76" i="5"/>
  <c r="GT76" i="5"/>
  <c r="GU76" i="5"/>
  <c r="GV76" i="5"/>
  <c r="GW76" i="5"/>
  <c r="GX76" i="5"/>
  <c r="GY76" i="5"/>
  <c r="GZ76" i="5"/>
  <c r="HA76" i="5"/>
  <c r="HB76" i="5"/>
  <c r="HC76" i="5"/>
  <c r="HD76" i="5"/>
  <c r="HE76" i="5"/>
  <c r="HF76" i="5"/>
  <c r="HG76" i="5"/>
  <c r="HH76" i="5"/>
  <c r="HI76" i="5"/>
  <c r="HJ76" i="5"/>
  <c r="HK76" i="5"/>
  <c r="HL76" i="5"/>
  <c r="HM76" i="5"/>
  <c r="HN76" i="5"/>
  <c r="HO76" i="5"/>
  <c r="HP76" i="5"/>
  <c r="HQ76" i="5"/>
  <c r="HR76" i="5"/>
  <c r="HS76" i="5"/>
  <c r="HT76" i="5"/>
  <c r="HU76" i="5"/>
  <c r="HV76" i="5"/>
  <c r="HW76" i="5"/>
  <c r="HX76" i="5"/>
  <c r="HY76" i="5"/>
  <c r="HZ76" i="5"/>
  <c r="IA76" i="5"/>
  <c r="IB76" i="5"/>
  <c r="IC76" i="5"/>
  <c r="ID76" i="5"/>
  <c r="IE76" i="5"/>
  <c r="IF76" i="5"/>
  <c r="IG76" i="5"/>
  <c r="IH76" i="5"/>
  <c r="II76" i="5"/>
  <c r="IJ76" i="5"/>
  <c r="IK76" i="5"/>
  <c r="IL76" i="5"/>
  <c r="IM76" i="5"/>
  <c r="IN76" i="5"/>
  <c r="IO76" i="5"/>
  <c r="IP76" i="5"/>
  <c r="IQ76" i="5"/>
  <c r="IR76" i="5"/>
  <c r="IS76" i="5"/>
  <c r="IT76" i="5"/>
  <c r="IU76" i="5"/>
  <c r="IV76" i="5"/>
  <c r="A75" i="5"/>
  <c r="B75" i="5"/>
  <c r="C75" i="5"/>
  <c r="D75" i="5"/>
  <c r="E75" i="5"/>
  <c r="F75" i="5"/>
  <c r="G75" i="5"/>
  <c r="H75" i="5"/>
  <c r="I75" i="5"/>
  <c r="J75" i="5"/>
  <c r="L75" i="5"/>
  <c r="M75" i="5"/>
  <c r="N75" i="5"/>
  <c r="O75" i="5"/>
  <c r="P75" i="5"/>
  <c r="Q75" i="5"/>
  <c r="R75" i="5"/>
  <c r="S75" i="5"/>
  <c r="T75" i="5"/>
  <c r="U75" i="5"/>
  <c r="V75" i="5"/>
  <c r="W75" i="5"/>
  <c r="X75" i="5"/>
  <c r="Y75" i="5"/>
  <c r="Z75" i="5"/>
  <c r="AA75" i="5"/>
  <c r="AB75" i="5"/>
  <c r="AC75" i="5"/>
  <c r="AD75" i="5"/>
  <c r="AE75" i="5"/>
  <c r="AF75" i="5"/>
  <c r="AG75" i="5"/>
  <c r="AH75" i="5"/>
  <c r="AI75" i="5"/>
  <c r="AJ75" i="5"/>
  <c r="AK75" i="5"/>
  <c r="AL75" i="5"/>
  <c r="AM75" i="5"/>
  <c r="AN75" i="5"/>
  <c r="AO75" i="5"/>
  <c r="AP75" i="5"/>
  <c r="AQ75" i="5"/>
  <c r="AR75" i="5"/>
  <c r="AS75" i="5"/>
  <c r="AT75" i="5"/>
  <c r="AU75" i="5"/>
  <c r="AV75" i="5"/>
  <c r="AW75" i="5"/>
  <c r="AX75" i="5"/>
  <c r="AY75" i="5"/>
  <c r="AZ75" i="5"/>
  <c r="BA75" i="5"/>
  <c r="BB75" i="5"/>
  <c r="BC75" i="5"/>
  <c r="BD75" i="5"/>
  <c r="BE75" i="5"/>
  <c r="BF75" i="5"/>
  <c r="BG75" i="5"/>
  <c r="BH75" i="5"/>
  <c r="BI75" i="5"/>
  <c r="BJ75" i="5"/>
  <c r="BK75" i="5"/>
  <c r="BL75" i="5"/>
  <c r="BM75" i="5"/>
  <c r="BN75" i="5"/>
  <c r="BO75" i="5"/>
  <c r="BP75" i="5"/>
  <c r="BQ75" i="5"/>
  <c r="BR75" i="5"/>
  <c r="BS75" i="5"/>
  <c r="BT75" i="5"/>
  <c r="BU75" i="5"/>
  <c r="BV75" i="5"/>
  <c r="BW75" i="5"/>
  <c r="BX75" i="5"/>
  <c r="BY75" i="5"/>
  <c r="BZ75" i="5"/>
  <c r="CA75" i="5"/>
  <c r="CB75" i="5"/>
  <c r="CC75" i="5"/>
  <c r="CD75" i="5"/>
  <c r="CE75" i="5"/>
  <c r="CF75" i="5"/>
  <c r="CG75" i="5"/>
  <c r="CH75" i="5"/>
  <c r="CI75" i="5"/>
  <c r="CJ75" i="5"/>
  <c r="CK75" i="5"/>
  <c r="CL75" i="5"/>
  <c r="CM75" i="5"/>
  <c r="CN75" i="5"/>
  <c r="CO75" i="5"/>
  <c r="CP75" i="5"/>
  <c r="CQ75" i="5"/>
  <c r="CR75" i="5"/>
  <c r="CS75" i="5"/>
  <c r="CT75" i="5"/>
  <c r="CU75" i="5"/>
  <c r="CV75" i="5"/>
  <c r="CW75" i="5"/>
  <c r="CX75" i="5"/>
  <c r="CY75" i="5"/>
  <c r="CZ75" i="5"/>
  <c r="DA75" i="5"/>
  <c r="DB75" i="5"/>
  <c r="DC75" i="5"/>
  <c r="DD75" i="5"/>
  <c r="DE75" i="5"/>
  <c r="DF75" i="5"/>
  <c r="DG75" i="5"/>
  <c r="DH75" i="5"/>
  <c r="DI75" i="5"/>
  <c r="DJ75" i="5"/>
  <c r="DK75" i="5"/>
  <c r="DL75" i="5"/>
  <c r="DM75" i="5"/>
  <c r="DN75" i="5"/>
  <c r="DO75" i="5"/>
  <c r="DP75" i="5"/>
  <c r="DQ75" i="5"/>
  <c r="DR75" i="5"/>
  <c r="DS75" i="5"/>
  <c r="DT75" i="5"/>
  <c r="DU75" i="5"/>
  <c r="DV75" i="5"/>
  <c r="DW75" i="5"/>
  <c r="DX75" i="5"/>
  <c r="DY75" i="5"/>
  <c r="DZ75" i="5"/>
  <c r="EA75" i="5"/>
  <c r="EB75" i="5"/>
  <c r="EC75" i="5"/>
  <c r="ED75" i="5"/>
  <c r="EE75" i="5"/>
  <c r="EF75" i="5"/>
  <c r="EG75" i="5"/>
  <c r="EH75" i="5"/>
  <c r="EI75" i="5"/>
  <c r="EJ75" i="5"/>
  <c r="EK75" i="5"/>
  <c r="EL75" i="5"/>
  <c r="EM75" i="5"/>
  <c r="EN75" i="5"/>
  <c r="EO75" i="5"/>
  <c r="EP75" i="5"/>
  <c r="EQ75" i="5"/>
  <c r="ER75" i="5"/>
  <c r="ES75" i="5"/>
  <c r="ET75" i="5"/>
  <c r="EU75" i="5"/>
  <c r="EV75" i="5"/>
  <c r="EW75" i="5"/>
  <c r="EX75" i="5"/>
  <c r="EY75" i="5"/>
  <c r="EZ75" i="5"/>
  <c r="FA75" i="5"/>
  <c r="FB75" i="5"/>
  <c r="FC75" i="5"/>
  <c r="FD75" i="5"/>
  <c r="FE75" i="5"/>
  <c r="FF75" i="5"/>
  <c r="FG75" i="5"/>
  <c r="FH75" i="5"/>
  <c r="FI75" i="5"/>
  <c r="FJ75" i="5"/>
  <c r="FK75" i="5"/>
  <c r="FL75" i="5"/>
  <c r="FM75" i="5"/>
  <c r="FN75" i="5"/>
  <c r="FO75" i="5"/>
  <c r="FP75" i="5"/>
  <c r="FQ75" i="5"/>
  <c r="FR75" i="5"/>
  <c r="FS75" i="5"/>
  <c r="FT75" i="5"/>
  <c r="FU75" i="5"/>
  <c r="FV75" i="5"/>
  <c r="FW75" i="5"/>
  <c r="FX75" i="5"/>
  <c r="FY75" i="5"/>
  <c r="FZ75" i="5"/>
  <c r="GA75" i="5"/>
  <c r="GB75" i="5"/>
  <c r="GC75" i="5"/>
  <c r="GD75" i="5"/>
  <c r="GE75" i="5"/>
  <c r="GF75" i="5"/>
  <c r="GG75" i="5"/>
  <c r="GH75" i="5"/>
  <c r="GI75" i="5"/>
  <c r="GJ75" i="5"/>
  <c r="GK75" i="5"/>
  <c r="GL75" i="5"/>
  <c r="GM75" i="5"/>
  <c r="GN75" i="5"/>
  <c r="GO75" i="5"/>
  <c r="GP75" i="5"/>
  <c r="GQ75" i="5"/>
  <c r="GR75" i="5"/>
  <c r="GS75" i="5"/>
  <c r="GT75" i="5"/>
  <c r="GU75" i="5"/>
  <c r="GV75" i="5"/>
  <c r="GW75" i="5"/>
  <c r="GX75" i="5"/>
  <c r="GY75" i="5"/>
  <c r="GZ75" i="5"/>
  <c r="HA75" i="5"/>
  <c r="HB75" i="5"/>
  <c r="HC75" i="5"/>
  <c r="HD75" i="5"/>
  <c r="HE75" i="5"/>
  <c r="HF75" i="5"/>
  <c r="HG75" i="5"/>
  <c r="HH75" i="5"/>
  <c r="HI75" i="5"/>
  <c r="HJ75" i="5"/>
  <c r="HK75" i="5"/>
  <c r="HL75" i="5"/>
  <c r="HM75" i="5"/>
  <c r="HN75" i="5"/>
  <c r="HO75" i="5"/>
  <c r="HP75" i="5"/>
  <c r="HQ75" i="5"/>
  <c r="HR75" i="5"/>
  <c r="HS75" i="5"/>
  <c r="HT75" i="5"/>
  <c r="HU75" i="5"/>
  <c r="HV75" i="5"/>
  <c r="HW75" i="5"/>
  <c r="HX75" i="5"/>
  <c r="HY75" i="5"/>
  <c r="HZ75" i="5"/>
  <c r="IA75" i="5"/>
  <c r="IB75" i="5"/>
  <c r="IC75" i="5"/>
  <c r="ID75" i="5"/>
  <c r="IE75" i="5"/>
  <c r="IF75" i="5"/>
  <c r="IG75" i="5"/>
  <c r="IH75" i="5"/>
  <c r="II75" i="5"/>
  <c r="IJ75" i="5"/>
  <c r="IK75" i="5"/>
  <c r="IL75" i="5"/>
  <c r="IM75" i="5"/>
  <c r="IN75" i="5"/>
  <c r="IO75" i="5"/>
  <c r="IP75" i="5"/>
  <c r="IQ75" i="5"/>
  <c r="IR75" i="5"/>
  <c r="IS75" i="5"/>
  <c r="IT75" i="5"/>
  <c r="IU75" i="5"/>
  <c r="IV75" i="5"/>
  <c r="A74" i="5"/>
  <c r="B74" i="5"/>
  <c r="C74" i="5"/>
  <c r="D74" i="5"/>
  <c r="E74" i="5"/>
  <c r="F74" i="5"/>
  <c r="G74" i="5"/>
  <c r="H74" i="5"/>
  <c r="I74" i="5"/>
  <c r="J74" i="5"/>
  <c r="K74" i="5"/>
  <c r="L74" i="5"/>
  <c r="M74" i="5"/>
  <c r="N74" i="5"/>
  <c r="O74" i="5"/>
  <c r="P74" i="5"/>
  <c r="Q74" i="5"/>
  <c r="R74" i="5"/>
  <c r="S74" i="5"/>
  <c r="T74" i="5"/>
  <c r="U74" i="5"/>
  <c r="V74" i="5"/>
  <c r="W74" i="5"/>
  <c r="X74" i="5"/>
  <c r="Y74" i="5"/>
  <c r="Z74" i="5"/>
  <c r="AA74" i="5"/>
  <c r="AB74" i="5"/>
  <c r="AC74" i="5"/>
  <c r="AD74" i="5"/>
  <c r="AE74" i="5"/>
  <c r="AF74" i="5"/>
  <c r="AG74" i="5"/>
  <c r="AH74" i="5"/>
  <c r="AI74" i="5"/>
  <c r="AJ74" i="5"/>
  <c r="AK74" i="5"/>
  <c r="AL74" i="5"/>
  <c r="AM74" i="5"/>
  <c r="AN74" i="5"/>
  <c r="AO74" i="5"/>
  <c r="AP74" i="5"/>
  <c r="AQ74" i="5"/>
  <c r="AR74" i="5"/>
  <c r="AS74" i="5"/>
  <c r="AT74" i="5"/>
  <c r="AU74" i="5"/>
  <c r="AV74" i="5"/>
  <c r="AW74" i="5"/>
  <c r="AX74" i="5"/>
  <c r="AY74" i="5"/>
  <c r="AZ74" i="5"/>
  <c r="BA74" i="5"/>
  <c r="BB74" i="5"/>
  <c r="BC74" i="5"/>
  <c r="BD74" i="5"/>
  <c r="BE74" i="5"/>
  <c r="BF74" i="5"/>
  <c r="BG74" i="5"/>
  <c r="BH74" i="5"/>
  <c r="BI74" i="5"/>
  <c r="BJ74" i="5"/>
  <c r="BK74" i="5"/>
  <c r="BL74" i="5"/>
  <c r="BM74" i="5"/>
  <c r="BN74" i="5"/>
  <c r="BO74" i="5"/>
  <c r="BP74" i="5"/>
  <c r="BQ74" i="5"/>
  <c r="BR74" i="5"/>
  <c r="BS74" i="5"/>
  <c r="BT74" i="5"/>
  <c r="BU74" i="5"/>
  <c r="BV74" i="5"/>
  <c r="BW74" i="5"/>
  <c r="BX74" i="5"/>
  <c r="BY74" i="5"/>
  <c r="BZ74" i="5"/>
  <c r="CA74" i="5"/>
  <c r="CB74" i="5"/>
  <c r="CC74" i="5"/>
  <c r="CD74" i="5"/>
  <c r="CE74" i="5"/>
  <c r="CF74" i="5"/>
  <c r="CG74" i="5"/>
  <c r="CH74" i="5"/>
  <c r="CI74" i="5"/>
  <c r="CJ74" i="5"/>
  <c r="CK74" i="5"/>
  <c r="CL74" i="5"/>
  <c r="CM74" i="5"/>
  <c r="CN74" i="5"/>
  <c r="CO74" i="5"/>
  <c r="CP74" i="5"/>
  <c r="CQ74" i="5"/>
  <c r="CR74" i="5"/>
  <c r="CS74" i="5"/>
  <c r="CT74" i="5"/>
  <c r="CU74" i="5"/>
  <c r="CV74" i="5"/>
  <c r="CW74" i="5"/>
  <c r="CX74" i="5"/>
  <c r="CY74" i="5"/>
  <c r="CZ74" i="5"/>
  <c r="DA74" i="5"/>
  <c r="DB74" i="5"/>
  <c r="DC74" i="5"/>
  <c r="DD74" i="5"/>
  <c r="DE74" i="5"/>
  <c r="DF74" i="5"/>
  <c r="DG74" i="5"/>
  <c r="DH74" i="5"/>
  <c r="DI74" i="5"/>
  <c r="DJ74" i="5"/>
  <c r="DK74" i="5"/>
  <c r="DL74" i="5"/>
  <c r="DM74" i="5"/>
  <c r="DN74" i="5"/>
  <c r="DO74" i="5"/>
  <c r="DP74" i="5"/>
  <c r="DQ74" i="5"/>
  <c r="DR74" i="5"/>
  <c r="DS74" i="5"/>
  <c r="DT74" i="5"/>
  <c r="DU74" i="5"/>
  <c r="DV74" i="5"/>
  <c r="DW74" i="5"/>
  <c r="DX74" i="5"/>
  <c r="DY74" i="5"/>
  <c r="DZ74" i="5"/>
  <c r="EA74" i="5"/>
  <c r="EB74" i="5"/>
  <c r="EC74" i="5"/>
  <c r="ED74" i="5"/>
  <c r="EE74" i="5"/>
  <c r="EF74" i="5"/>
  <c r="EG74" i="5"/>
  <c r="EH74" i="5"/>
  <c r="EI74" i="5"/>
  <c r="EJ74" i="5"/>
  <c r="EK74" i="5"/>
  <c r="EL74" i="5"/>
  <c r="EM74" i="5"/>
  <c r="EN74" i="5"/>
  <c r="EO74" i="5"/>
  <c r="EP74" i="5"/>
  <c r="EQ74" i="5"/>
  <c r="ER74" i="5"/>
  <c r="ES74" i="5"/>
  <c r="ET74" i="5"/>
  <c r="EU74" i="5"/>
  <c r="EV74" i="5"/>
  <c r="EW74" i="5"/>
  <c r="EX74" i="5"/>
  <c r="EY74" i="5"/>
  <c r="EZ74" i="5"/>
  <c r="FA74" i="5"/>
  <c r="FB74" i="5"/>
  <c r="FC74" i="5"/>
  <c r="FD74" i="5"/>
  <c r="FE74" i="5"/>
  <c r="FF74" i="5"/>
  <c r="FG74" i="5"/>
  <c r="FH74" i="5"/>
  <c r="FI74" i="5"/>
  <c r="FJ74" i="5"/>
  <c r="FK74" i="5"/>
  <c r="FL74" i="5"/>
  <c r="FM74" i="5"/>
  <c r="FN74" i="5"/>
  <c r="FO74" i="5"/>
  <c r="FP74" i="5"/>
  <c r="FQ74" i="5"/>
  <c r="FR74" i="5"/>
  <c r="FS74" i="5"/>
  <c r="FT74" i="5"/>
  <c r="FU74" i="5"/>
  <c r="FV74" i="5"/>
  <c r="FW74" i="5"/>
  <c r="FX74" i="5"/>
  <c r="FY74" i="5"/>
  <c r="FZ74" i="5"/>
  <c r="GA74" i="5"/>
  <c r="GB74" i="5"/>
  <c r="GC74" i="5"/>
  <c r="GD74" i="5"/>
  <c r="GE74" i="5"/>
  <c r="GF74" i="5"/>
  <c r="GG74" i="5"/>
  <c r="GH74" i="5"/>
  <c r="GI74" i="5"/>
  <c r="GJ74" i="5"/>
  <c r="GK74" i="5"/>
  <c r="GL74" i="5"/>
  <c r="GM74" i="5"/>
  <c r="GN74" i="5"/>
  <c r="GO74" i="5"/>
  <c r="GP74" i="5"/>
  <c r="GQ74" i="5"/>
  <c r="GR74" i="5"/>
  <c r="GS74" i="5"/>
  <c r="GT74" i="5"/>
  <c r="GU74" i="5"/>
  <c r="GV74" i="5"/>
  <c r="GW74" i="5"/>
  <c r="GX74" i="5"/>
  <c r="GY74" i="5"/>
  <c r="GZ74" i="5"/>
  <c r="HA74" i="5"/>
  <c r="HB74" i="5"/>
  <c r="HC74" i="5"/>
  <c r="HD74" i="5"/>
  <c r="HE74" i="5"/>
  <c r="HF74" i="5"/>
  <c r="HG74" i="5"/>
  <c r="HH74" i="5"/>
  <c r="HI74" i="5"/>
  <c r="HJ74" i="5"/>
  <c r="HK74" i="5"/>
  <c r="HL74" i="5"/>
  <c r="HM74" i="5"/>
  <c r="HN74" i="5"/>
  <c r="HO74" i="5"/>
  <c r="HP74" i="5"/>
  <c r="HQ74" i="5"/>
  <c r="HR74" i="5"/>
  <c r="HS74" i="5"/>
  <c r="HT74" i="5"/>
  <c r="HU74" i="5"/>
  <c r="HV74" i="5"/>
  <c r="HW74" i="5"/>
  <c r="HX74" i="5"/>
  <c r="HY74" i="5"/>
  <c r="HZ74" i="5"/>
  <c r="IA74" i="5"/>
  <c r="IB74" i="5"/>
  <c r="IC74" i="5"/>
  <c r="ID74" i="5"/>
  <c r="IE74" i="5"/>
  <c r="IF74" i="5"/>
  <c r="IG74" i="5"/>
  <c r="IH74" i="5"/>
  <c r="II74" i="5"/>
  <c r="IJ74" i="5"/>
  <c r="IK74" i="5"/>
  <c r="IL74" i="5"/>
  <c r="IM74" i="5"/>
  <c r="IN74" i="5"/>
  <c r="IO74" i="5"/>
  <c r="IP74" i="5"/>
  <c r="IQ74" i="5"/>
  <c r="IR74" i="5"/>
  <c r="IS74" i="5"/>
  <c r="IT74" i="5"/>
  <c r="IU74" i="5"/>
  <c r="IV74" i="5"/>
  <c r="A73" i="5"/>
  <c r="B73" i="5"/>
  <c r="C73" i="5"/>
  <c r="D73" i="5"/>
  <c r="E73" i="5"/>
  <c r="F73" i="5"/>
  <c r="G73" i="5"/>
  <c r="H73" i="5"/>
  <c r="I73" i="5"/>
  <c r="J73" i="5"/>
  <c r="K73" i="5"/>
  <c r="L73" i="5"/>
  <c r="M73" i="5"/>
  <c r="N73" i="5"/>
  <c r="O73" i="5"/>
  <c r="P73" i="5"/>
  <c r="Q73" i="5"/>
  <c r="R73" i="5"/>
  <c r="S73" i="5"/>
  <c r="T73" i="5"/>
  <c r="U73" i="5"/>
  <c r="V73" i="5"/>
  <c r="W73" i="5"/>
  <c r="X73" i="5"/>
  <c r="Y73" i="5"/>
  <c r="Z73" i="5"/>
  <c r="AA73" i="5"/>
  <c r="AB73" i="5"/>
  <c r="AC73" i="5"/>
  <c r="AD73" i="5"/>
  <c r="AE73" i="5"/>
  <c r="AF73" i="5"/>
  <c r="AG73" i="5"/>
  <c r="AH73" i="5"/>
  <c r="AI73" i="5"/>
  <c r="AJ73" i="5"/>
  <c r="AK73" i="5"/>
  <c r="AL73" i="5"/>
  <c r="AM73" i="5"/>
  <c r="AN73" i="5"/>
  <c r="AO73" i="5"/>
  <c r="AP73" i="5"/>
  <c r="AQ73" i="5"/>
  <c r="AR73" i="5"/>
  <c r="AS73" i="5"/>
  <c r="AT73" i="5"/>
  <c r="AU73" i="5"/>
  <c r="AV73" i="5"/>
  <c r="AW73" i="5"/>
  <c r="AX73" i="5"/>
  <c r="AY73" i="5"/>
  <c r="AZ73" i="5"/>
  <c r="BA73" i="5"/>
  <c r="BB73" i="5"/>
  <c r="BC73" i="5"/>
  <c r="BD73" i="5"/>
  <c r="BE73" i="5"/>
  <c r="BF73" i="5"/>
  <c r="BG73" i="5"/>
  <c r="BH73" i="5"/>
  <c r="BI73" i="5"/>
  <c r="BJ73" i="5"/>
  <c r="BK73" i="5"/>
  <c r="BL73" i="5"/>
  <c r="BM73" i="5"/>
  <c r="BN73" i="5"/>
  <c r="BO73" i="5"/>
  <c r="BP73" i="5"/>
  <c r="BQ73" i="5"/>
  <c r="BR73" i="5"/>
  <c r="BS73" i="5"/>
  <c r="BT73" i="5"/>
  <c r="BU73" i="5"/>
  <c r="BV73" i="5"/>
  <c r="BW73" i="5"/>
  <c r="BX73" i="5"/>
  <c r="BY73" i="5"/>
  <c r="BZ73" i="5"/>
  <c r="CA73" i="5"/>
  <c r="CB73" i="5"/>
  <c r="CC73" i="5"/>
  <c r="CD73" i="5"/>
  <c r="CE73" i="5"/>
  <c r="CF73" i="5"/>
  <c r="CG73" i="5"/>
  <c r="CH73" i="5"/>
  <c r="CI73" i="5"/>
  <c r="CJ73" i="5"/>
  <c r="CK73" i="5"/>
  <c r="CL73" i="5"/>
  <c r="CM73" i="5"/>
  <c r="CN73" i="5"/>
  <c r="CO73" i="5"/>
  <c r="CP73" i="5"/>
  <c r="CQ73" i="5"/>
  <c r="CR73" i="5"/>
  <c r="CS73" i="5"/>
  <c r="CT73" i="5"/>
  <c r="CU73" i="5"/>
  <c r="CV73" i="5"/>
  <c r="CW73" i="5"/>
  <c r="CX73" i="5"/>
  <c r="CY73" i="5"/>
  <c r="CZ73" i="5"/>
  <c r="DA73" i="5"/>
  <c r="DB73" i="5"/>
  <c r="DC73" i="5"/>
  <c r="DD73" i="5"/>
  <c r="DE73" i="5"/>
  <c r="DF73" i="5"/>
  <c r="DG73" i="5"/>
  <c r="DH73" i="5"/>
  <c r="DI73" i="5"/>
  <c r="DJ73" i="5"/>
  <c r="DK73" i="5"/>
  <c r="DL73" i="5"/>
  <c r="DM73" i="5"/>
  <c r="DN73" i="5"/>
  <c r="DO73" i="5"/>
  <c r="DP73" i="5"/>
  <c r="DQ73" i="5"/>
  <c r="DR73" i="5"/>
  <c r="DS73" i="5"/>
  <c r="DT73" i="5"/>
  <c r="DU73" i="5"/>
  <c r="DV73" i="5"/>
  <c r="DW73" i="5"/>
  <c r="DX73" i="5"/>
  <c r="DY73" i="5"/>
  <c r="DZ73" i="5"/>
  <c r="EA73" i="5"/>
  <c r="EB73" i="5"/>
  <c r="EC73" i="5"/>
  <c r="ED73" i="5"/>
  <c r="EE73" i="5"/>
  <c r="EF73" i="5"/>
  <c r="EG73" i="5"/>
  <c r="EH73" i="5"/>
  <c r="EI73" i="5"/>
  <c r="EJ73" i="5"/>
  <c r="EK73" i="5"/>
  <c r="EL73" i="5"/>
  <c r="EM73" i="5"/>
  <c r="EN73" i="5"/>
  <c r="EO73" i="5"/>
  <c r="EP73" i="5"/>
  <c r="EQ73" i="5"/>
  <c r="ER73" i="5"/>
  <c r="ES73" i="5"/>
  <c r="ET73" i="5"/>
  <c r="EU73" i="5"/>
  <c r="EV73" i="5"/>
  <c r="EW73" i="5"/>
  <c r="EX73" i="5"/>
  <c r="EY73" i="5"/>
  <c r="EZ73" i="5"/>
  <c r="FA73" i="5"/>
  <c r="FB73" i="5"/>
  <c r="FC73" i="5"/>
  <c r="FD73" i="5"/>
  <c r="FE73" i="5"/>
  <c r="FF73" i="5"/>
  <c r="FG73" i="5"/>
  <c r="FH73" i="5"/>
  <c r="FI73" i="5"/>
  <c r="FJ73" i="5"/>
  <c r="FK73" i="5"/>
  <c r="FL73" i="5"/>
  <c r="FM73" i="5"/>
  <c r="FN73" i="5"/>
  <c r="FO73" i="5"/>
  <c r="FP73" i="5"/>
  <c r="FQ73" i="5"/>
  <c r="FR73" i="5"/>
  <c r="FS73" i="5"/>
  <c r="FT73" i="5"/>
  <c r="FU73" i="5"/>
  <c r="FV73" i="5"/>
  <c r="FW73" i="5"/>
  <c r="FX73" i="5"/>
  <c r="FY73" i="5"/>
  <c r="FZ73" i="5"/>
  <c r="GA73" i="5"/>
  <c r="GB73" i="5"/>
  <c r="GC73" i="5"/>
  <c r="GD73" i="5"/>
  <c r="GE73" i="5"/>
  <c r="GF73" i="5"/>
  <c r="GG73" i="5"/>
  <c r="GH73" i="5"/>
  <c r="GI73" i="5"/>
  <c r="GJ73" i="5"/>
  <c r="GK73" i="5"/>
  <c r="GL73" i="5"/>
  <c r="GM73" i="5"/>
  <c r="GN73" i="5"/>
  <c r="GO73" i="5"/>
  <c r="GP73" i="5"/>
  <c r="GQ73" i="5"/>
  <c r="GR73" i="5"/>
  <c r="GS73" i="5"/>
  <c r="GT73" i="5"/>
  <c r="GU73" i="5"/>
  <c r="GV73" i="5"/>
  <c r="GW73" i="5"/>
  <c r="GX73" i="5"/>
  <c r="GY73" i="5"/>
  <c r="GZ73" i="5"/>
  <c r="HA73" i="5"/>
  <c r="HB73" i="5"/>
  <c r="HC73" i="5"/>
  <c r="HD73" i="5"/>
  <c r="HE73" i="5"/>
  <c r="HF73" i="5"/>
  <c r="HG73" i="5"/>
  <c r="HH73" i="5"/>
  <c r="HI73" i="5"/>
  <c r="HJ73" i="5"/>
  <c r="HK73" i="5"/>
  <c r="HL73" i="5"/>
  <c r="HM73" i="5"/>
  <c r="HN73" i="5"/>
  <c r="HO73" i="5"/>
  <c r="HP73" i="5"/>
  <c r="HQ73" i="5"/>
  <c r="HR73" i="5"/>
  <c r="HS73" i="5"/>
  <c r="HT73" i="5"/>
  <c r="HU73" i="5"/>
  <c r="HV73" i="5"/>
  <c r="HW73" i="5"/>
  <c r="HX73" i="5"/>
  <c r="HY73" i="5"/>
  <c r="HZ73" i="5"/>
  <c r="IA73" i="5"/>
  <c r="IB73" i="5"/>
  <c r="IC73" i="5"/>
  <c r="ID73" i="5"/>
  <c r="IE73" i="5"/>
  <c r="IF73" i="5"/>
  <c r="IG73" i="5"/>
  <c r="IH73" i="5"/>
  <c r="II73" i="5"/>
  <c r="IJ73" i="5"/>
  <c r="IK73" i="5"/>
  <c r="IL73" i="5"/>
  <c r="IM73" i="5"/>
  <c r="IN73" i="5"/>
  <c r="IO73" i="5"/>
  <c r="IP73" i="5"/>
  <c r="IQ73" i="5"/>
  <c r="IR73" i="5"/>
  <c r="IS73" i="5"/>
  <c r="IT73" i="5"/>
  <c r="IU73" i="5"/>
  <c r="IV73" i="5"/>
  <c r="A72" i="5"/>
  <c r="B72" i="5"/>
  <c r="C72" i="5"/>
  <c r="D72" i="5"/>
  <c r="E72" i="5"/>
  <c r="F72" i="5"/>
  <c r="G72" i="5"/>
  <c r="H72" i="5"/>
  <c r="I72" i="5"/>
  <c r="J72" i="5"/>
  <c r="K72" i="5"/>
  <c r="L72" i="5"/>
  <c r="M72" i="5"/>
  <c r="N72" i="5"/>
  <c r="O72" i="5"/>
  <c r="P72" i="5"/>
  <c r="Q72" i="5"/>
  <c r="R72" i="5"/>
  <c r="S72" i="5"/>
  <c r="T72" i="5"/>
  <c r="U72" i="5"/>
  <c r="V72" i="5"/>
  <c r="W72" i="5"/>
  <c r="X72" i="5"/>
  <c r="Y72" i="5"/>
  <c r="Z72" i="5"/>
  <c r="AA72" i="5"/>
  <c r="AB72" i="5"/>
  <c r="AC72" i="5"/>
  <c r="AD72" i="5"/>
  <c r="AE72" i="5"/>
  <c r="AF72" i="5"/>
  <c r="AG72" i="5"/>
  <c r="AH72" i="5"/>
  <c r="AI72" i="5"/>
  <c r="AJ72" i="5"/>
  <c r="AK72" i="5"/>
  <c r="AL72" i="5"/>
  <c r="AM72" i="5"/>
  <c r="AN72" i="5"/>
  <c r="AO72" i="5"/>
  <c r="AP72" i="5"/>
  <c r="AQ72" i="5"/>
  <c r="AR72" i="5"/>
  <c r="AS72" i="5"/>
  <c r="AT72" i="5"/>
  <c r="AU72" i="5"/>
  <c r="AV72" i="5"/>
  <c r="AW72" i="5"/>
  <c r="AX72" i="5"/>
  <c r="AY72" i="5"/>
  <c r="AZ72" i="5"/>
  <c r="BA72" i="5"/>
  <c r="BB72" i="5"/>
  <c r="BC72" i="5"/>
  <c r="BD72" i="5"/>
  <c r="BE72" i="5"/>
  <c r="BF72" i="5"/>
  <c r="BG72" i="5"/>
  <c r="BH72" i="5"/>
  <c r="BI72" i="5"/>
  <c r="BJ72" i="5"/>
  <c r="BK72" i="5"/>
  <c r="BL72" i="5"/>
  <c r="BM72" i="5"/>
  <c r="BN72" i="5"/>
  <c r="BO72" i="5"/>
  <c r="BP72" i="5"/>
  <c r="BQ72" i="5"/>
  <c r="BR72" i="5"/>
  <c r="BS72" i="5"/>
  <c r="BT72" i="5"/>
  <c r="BU72" i="5"/>
  <c r="BV72" i="5"/>
  <c r="BW72" i="5"/>
  <c r="BX72" i="5"/>
  <c r="BY72" i="5"/>
  <c r="BZ72" i="5"/>
  <c r="CA72" i="5"/>
  <c r="CB72" i="5"/>
  <c r="CC72" i="5"/>
  <c r="CD72" i="5"/>
  <c r="CE72" i="5"/>
  <c r="CF72" i="5"/>
  <c r="CG72" i="5"/>
  <c r="CH72" i="5"/>
  <c r="CI72" i="5"/>
  <c r="CJ72" i="5"/>
  <c r="CK72" i="5"/>
  <c r="CL72" i="5"/>
  <c r="CM72" i="5"/>
  <c r="CN72" i="5"/>
  <c r="CO72" i="5"/>
  <c r="CP72" i="5"/>
  <c r="CQ72" i="5"/>
  <c r="CR72" i="5"/>
  <c r="CS72" i="5"/>
  <c r="CT72" i="5"/>
  <c r="CU72" i="5"/>
  <c r="CV72" i="5"/>
  <c r="CW72" i="5"/>
  <c r="CX72" i="5"/>
  <c r="CY72" i="5"/>
  <c r="CZ72" i="5"/>
  <c r="DA72" i="5"/>
  <c r="DB72" i="5"/>
  <c r="DC72" i="5"/>
  <c r="DD72" i="5"/>
  <c r="DE72" i="5"/>
  <c r="DF72" i="5"/>
  <c r="DG72" i="5"/>
  <c r="DH72" i="5"/>
  <c r="DI72" i="5"/>
  <c r="DJ72" i="5"/>
  <c r="DK72" i="5"/>
  <c r="DL72" i="5"/>
  <c r="DM72" i="5"/>
  <c r="DN72" i="5"/>
  <c r="DO72" i="5"/>
  <c r="DP72" i="5"/>
  <c r="DQ72" i="5"/>
  <c r="DR72" i="5"/>
  <c r="DS72" i="5"/>
  <c r="DT72" i="5"/>
  <c r="DU72" i="5"/>
  <c r="DV72" i="5"/>
  <c r="DW72" i="5"/>
  <c r="DX72" i="5"/>
  <c r="DY72" i="5"/>
  <c r="DZ72" i="5"/>
  <c r="EA72" i="5"/>
  <c r="EB72" i="5"/>
  <c r="EC72" i="5"/>
  <c r="ED72" i="5"/>
  <c r="EE72" i="5"/>
  <c r="EF72" i="5"/>
  <c r="EG72" i="5"/>
  <c r="EH72" i="5"/>
  <c r="EI72" i="5"/>
  <c r="EJ72" i="5"/>
  <c r="EK72" i="5"/>
  <c r="EL72" i="5"/>
  <c r="EM72" i="5"/>
  <c r="EN72" i="5"/>
  <c r="EO72" i="5"/>
  <c r="EP72" i="5"/>
  <c r="EQ72" i="5"/>
  <c r="ER72" i="5"/>
  <c r="ES72" i="5"/>
  <c r="ET72" i="5"/>
  <c r="EU72" i="5"/>
  <c r="EV72" i="5"/>
  <c r="EW72" i="5"/>
  <c r="EX72" i="5"/>
  <c r="EY72" i="5"/>
  <c r="EZ72" i="5"/>
  <c r="FA72" i="5"/>
  <c r="FB72" i="5"/>
  <c r="FC72" i="5"/>
  <c r="FD72" i="5"/>
  <c r="FE72" i="5"/>
  <c r="FF72" i="5"/>
  <c r="FG72" i="5"/>
  <c r="FH72" i="5"/>
  <c r="FI72" i="5"/>
  <c r="FJ72" i="5"/>
  <c r="FK72" i="5"/>
  <c r="FL72" i="5"/>
  <c r="FM72" i="5"/>
  <c r="FN72" i="5"/>
  <c r="FO72" i="5"/>
  <c r="FP72" i="5"/>
  <c r="FQ72" i="5"/>
  <c r="FR72" i="5"/>
  <c r="FS72" i="5"/>
  <c r="FT72" i="5"/>
  <c r="FU72" i="5"/>
  <c r="FV72" i="5"/>
  <c r="FW72" i="5"/>
  <c r="FX72" i="5"/>
  <c r="FY72" i="5"/>
  <c r="FZ72" i="5"/>
  <c r="GA72" i="5"/>
  <c r="GB72" i="5"/>
  <c r="GC72" i="5"/>
  <c r="GD72" i="5"/>
  <c r="GE72" i="5"/>
  <c r="GF72" i="5"/>
  <c r="GG72" i="5"/>
  <c r="GH72" i="5"/>
  <c r="GI72" i="5"/>
  <c r="GJ72" i="5"/>
  <c r="GK72" i="5"/>
  <c r="GL72" i="5"/>
  <c r="GM72" i="5"/>
  <c r="GN72" i="5"/>
  <c r="GO72" i="5"/>
  <c r="GP72" i="5"/>
  <c r="GQ72" i="5"/>
  <c r="GR72" i="5"/>
  <c r="GS72" i="5"/>
  <c r="GT72" i="5"/>
  <c r="GU72" i="5"/>
  <c r="GV72" i="5"/>
  <c r="GW72" i="5"/>
  <c r="GX72" i="5"/>
  <c r="GY72" i="5"/>
  <c r="GZ72" i="5"/>
  <c r="HA72" i="5"/>
  <c r="HB72" i="5"/>
  <c r="HC72" i="5"/>
  <c r="HD72" i="5"/>
  <c r="HE72" i="5"/>
  <c r="HF72" i="5"/>
  <c r="HG72" i="5"/>
  <c r="HH72" i="5"/>
  <c r="HI72" i="5"/>
  <c r="HJ72" i="5"/>
  <c r="HK72" i="5"/>
  <c r="HL72" i="5"/>
  <c r="HM72" i="5"/>
  <c r="HN72" i="5"/>
  <c r="HO72" i="5"/>
  <c r="HP72" i="5"/>
  <c r="HQ72" i="5"/>
  <c r="HR72" i="5"/>
  <c r="HS72" i="5"/>
  <c r="HT72" i="5"/>
  <c r="HU72" i="5"/>
  <c r="HV72" i="5"/>
  <c r="HW72" i="5"/>
  <c r="HX72" i="5"/>
  <c r="HY72" i="5"/>
  <c r="HZ72" i="5"/>
  <c r="IA72" i="5"/>
  <c r="IB72" i="5"/>
  <c r="IC72" i="5"/>
  <c r="ID72" i="5"/>
  <c r="IE72" i="5"/>
  <c r="IF72" i="5"/>
  <c r="IG72" i="5"/>
  <c r="IH72" i="5"/>
  <c r="II72" i="5"/>
  <c r="IJ72" i="5"/>
  <c r="IK72" i="5"/>
  <c r="IL72" i="5"/>
  <c r="IM72" i="5"/>
  <c r="IN72" i="5"/>
  <c r="IO72" i="5"/>
  <c r="IP72" i="5"/>
  <c r="IQ72" i="5"/>
  <c r="IR72" i="5"/>
  <c r="IS72" i="5"/>
  <c r="IT72" i="5"/>
  <c r="IU72" i="5"/>
  <c r="IV72" i="5"/>
  <c r="A71" i="5"/>
  <c r="B71" i="5"/>
  <c r="C71" i="5"/>
  <c r="D71" i="5"/>
  <c r="E71" i="5"/>
  <c r="F71" i="5"/>
  <c r="G71" i="5"/>
  <c r="H71" i="5"/>
  <c r="I71" i="5"/>
  <c r="J71" i="5"/>
  <c r="K71" i="5"/>
  <c r="L71" i="5"/>
  <c r="M71" i="5"/>
  <c r="N71" i="5"/>
  <c r="O71" i="5"/>
  <c r="P71" i="5"/>
  <c r="Q71" i="5"/>
  <c r="R71" i="5"/>
  <c r="S71" i="5"/>
  <c r="T71" i="5"/>
  <c r="U71" i="5"/>
  <c r="V71" i="5"/>
  <c r="W71" i="5"/>
  <c r="X71" i="5"/>
  <c r="Y71" i="5"/>
  <c r="Z71" i="5"/>
  <c r="AA71" i="5"/>
  <c r="AB71" i="5"/>
  <c r="AC71" i="5"/>
  <c r="AD71" i="5"/>
  <c r="AE71" i="5"/>
  <c r="AF71" i="5"/>
  <c r="AG71" i="5"/>
  <c r="AH71" i="5"/>
  <c r="AI71" i="5"/>
  <c r="AJ71" i="5"/>
  <c r="AK71" i="5"/>
  <c r="AL71" i="5"/>
  <c r="AM71" i="5"/>
  <c r="AN71" i="5"/>
  <c r="AO71" i="5"/>
  <c r="AP71" i="5"/>
  <c r="AQ71" i="5"/>
  <c r="AR71" i="5"/>
  <c r="AT71" i="5"/>
  <c r="AU71" i="5"/>
  <c r="AV71" i="5"/>
  <c r="AW71" i="5"/>
  <c r="AX71" i="5"/>
  <c r="AY71" i="5"/>
  <c r="AZ71" i="5"/>
  <c r="BA71" i="5"/>
  <c r="BB71" i="5"/>
  <c r="BC71" i="5"/>
  <c r="BD71" i="5"/>
  <c r="BE71" i="5"/>
  <c r="BF71" i="5"/>
  <c r="BG71" i="5"/>
  <c r="BH71" i="5"/>
  <c r="BI71" i="5"/>
  <c r="BJ71" i="5"/>
  <c r="BK71" i="5"/>
  <c r="BL71" i="5"/>
  <c r="BM71" i="5"/>
  <c r="BN71" i="5"/>
  <c r="BO71" i="5"/>
  <c r="BP71" i="5"/>
  <c r="BQ71" i="5"/>
  <c r="BR71" i="5"/>
  <c r="BS71" i="5"/>
  <c r="BT71" i="5"/>
  <c r="BU71" i="5"/>
  <c r="BV71" i="5"/>
  <c r="BW71" i="5"/>
  <c r="BX71" i="5"/>
  <c r="BY71" i="5"/>
  <c r="BZ71" i="5"/>
  <c r="CA71" i="5"/>
  <c r="CB71" i="5"/>
  <c r="CC71" i="5"/>
  <c r="CD71" i="5"/>
  <c r="CE71" i="5"/>
  <c r="CF71" i="5"/>
  <c r="CG71" i="5"/>
  <c r="CH71" i="5"/>
  <c r="CI71" i="5"/>
  <c r="CJ71" i="5"/>
  <c r="CK71" i="5"/>
  <c r="CL71" i="5"/>
  <c r="CM71" i="5"/>
  <c r="CN71" i="5"/>
  <c r="CO71" i="5"/>
  <c r="CP71" i="5"/>
  <c r="CQ71" i="5"/>
  <c r="CR71" i="5"/>
  <c r="CS71" i="5"/>
  <c r="CT71" i="5"/>
  <c r="CU71" i="5"/>
  <c r="CV71" i="5"/>
  <c r="CW71" i="5"/>
  <c r="CX71" i="5"/>
  <c r="CY71" i="5"/>
  <c r="CZ71" i="5"/>
  <c r="DA71" i="5"/>
  <c r="DB71" i="5"/>
  <c r="DC71" i="5"/>
  <c r="DD71" i="5"/>
  <c r="DE71" i="5"/>
  <c r="DF71" i="5"/>
  <c r="DG71" i="5"/>
  <c r="DH71" i="5"/>
  <c r="DI71" i="5"/>
  <c r="DJ71" i="5"/>
  <c r="DK71" i="5"/>
  <c r="DL71" i="5"/>
  <c r="DM71" i="5"/>
  <c r="DN71" i="5"/>
  <c r="DO71" i="5"/>
  <c r="DP71" i="5"/>
  <c r="DQ71" i="5"/>
  <c r="DR71" i="5"/>
  <c r="DS71" i="5"/>
  <c r="DT71" i="5"/>
  <c r="DU71" i="5"/>
  <c r="DV71" i="5"/>
  <c r="DW71" i="5"/>
  <c r="DX71" i="5"/>
  <c r="DY71" i="5"/>
  <c r="DZ71" i="5"/>
  <c r="EA71" i="5"/>
  <c r="EB71" i="5"/>
  <c r="EC71" i="5"/>
  <c r="ED71" i="5"/>
  <c r="EE71" i="5"/>
  <c r="EF71" i="5"/>
  <c r="EG71" i="5"/>
  <c r="EH71" i="5"/>
  <c r="EI71" i="5"/>
  <c r="EJ71" i="5"/>
  <c r="EK71" i="5"/>
  <c r="EL71" i="5"/>
  <c r="EM71" i="5"/>
  <c r="EN71" i="5"/>
  <c r="EO71" i="5"/>
  <c r="EP71" i="5"/>
  <c r="EQ71" i="5"/>
  <c r="ER71" i="5"/>
  <c r="ES71" i="5"/>
  <c r="ET71" i="5"/>
  <c r="EU71" i="5"/>
  <c r="EV71" i="5"/>
  <c r="EW71" i="5"/>
  <c r="EX71" i="5"/>
  <c r="EY71" i="5"/>
  <c r="EZ71" i="5"/>
  <c r="FA71" i="5"/>
  <c r="FB71" i="5"/>
  <c r="FC71" i="5"/>
  <c r="FD71" i="5"/>
  <c r="FE71" i="5"/>
  <c r="FF71" i="5"/>
  <c r="FG71" i="5"/>
  <c r="FH71" i="5"/>
  <c r="FI71" i="5"/>
  <c r="FJ71" i="5"/>
  <c r="FK71" i="5"/>
  <c r="FL71" i="5"/>
  <c r="FM71" i="5"/>
  <c r="FN71" i="5"/>
  <c r="FO71" i="5"/>
  <c r="FP71" i="5"/>
  <c r="FQ71" i="5"/>
  <c r="FR71" i="5"/>
  <c r="FS71" i="5"/>
  <c r="FT71" i="5"/>
  <c r="FU71" i="5"/>
  <c r="FV71" i="5"/>
  <c r="FW71" i="5"/>
  <c r="FX71" i="5"/>
  <c r="FY71" i="5"/>
  <c r="FZ71" i="5"/>
  <c r="GA71" i="5"/>
  <c r="GB71" i="5"/>
  <c r="GC71" i="5"/>
  <c r="GD71" i="5"/>
  <c r="GE71" i="5"/>
  <c r="GF71" i="5"/>
  <c r="GG71" i="5"/>
  <c r="GH71" i="5"/>
  <c r="GI71" i="5"/>
  <c r="GJ71" i="5"/>
  <c r="GK71" i="5"/>
  <c r="GL71" i="5"/>
  <c r="GM71" i="5"/>
  <c r="GN71" i="5"/>
  <c r="GO71" i="5"/>
  <c r="GP71" i="5"/>
  <c r="GQ71" i="5"/>
  <c r="GR71" i="5"/>
  <c r="GS71" i="5"/>
  <c r="GT71" i="5"/>
  <c r="GU71" i="5"/>
  <c r="GV71" i="5"/>
  <c r="GW71" i="5"/>
  <c r="GX71" i="5"/>
  <c r="GY71" i="5"/>
  <c r="GZ71" i="5"/>
  <c r="HA71" i="5"/>
  <c r="HB71" i="5"/>
  <c r="HC71" i="5"/>
  <c r="HD71" i="5"/>
  <c r="HE71" i="5"/>
  <c r="HF71" i="5"/>
  <c r="HG71" i="5"/>
  <c r="HH71" i="5"/>
  <c r="HI71" i="5"/>
  <c r="HJ71" i="5"/>
  <c r="HK71" i="5"/>
  <c r="HL71" i="5"/>
  <c r="HM71" i="5"/>
  <c r="HN71" i="5"/>
  <c r="HO71" i="5"/>
  <c r="HP71" i="5"/>
  <c r="HQ71" i="5"/>
  <c r="HR71" i="5"/>
  <c r="HS71" i="5"/>
  <c r="HT71" i="5"/>
  <c r="HU71" i="5"/>
  <c r="HV71" i="5"/>
  <c r="HW71" i="5"/>
  <c r="HX71" i="5"/>
  <c r="HY71" i="5"/>
  <c r="HZ71" i="5"/>
  <c r="IA71" i="5"/>
  <c r="IB71" i="5"/>
  <c r="IC71" i="5"/>
  <c r="ID71" i="5"/>
  <c r="IE71" i="5"/>
  <c r="IF71" i="5"/>
  <c r="IG71" i="5"/>
  <c r="IH71" i="5"/>
  <c r="II71" i="5"/>
  <c r="IJ71" i="5"/>
  <c r="IK71" i="5"/>
  <c r="IL71" i="5"/>
  <c r="IM71" i="5"/>
  <c r="IN71" i="5"/>
  <c r="IO71" i="5"/>
  <c r="IP71" i="5"/>
  <c r="IQ71" i="5"/>
  <c r="IR71" i="5"/>
  <c r="IS71" i="5"/>
  <c r="IT71" i="5"/>
  <c r="IU71" i="5"/>
  <c r="IV71" i="5"/>
  <c r="A70" i="5"/>
  <c r="B70" i="5"/>
  <c r="C70" i="5"/>
  <c r="D70" i="5"/>
  <c r="E70" i="5"/>
  <c r="F70" i="5"/>
  <c r="G70" i="5"/>
  <c r="H70" i="5"/>
  <c r="I70" i="5"/>
  <c r="J70" i="5"/>
  <c r="K70" i="5"/>
  <c r="L70" i="5"/>
  <c r="M70" i="5"/>
  <c r="N70" i="5"/>
  <c r="O70" i="5"/>
  <c r="P70" i="5"/>
  <c r="Q70" i="5"/>
  <c r="R70" i="5"/>
  <c r="S70" i="5"/>
  <c r="T70" i="5"/>
  <c r="U70" i="5"/>
  <c r="V70" i="5"/>
  <c r="W70" i="5"/>
  <c r="X70" i="5"/>
  <c r="Y70" i="5"/>
  <c r="Z70" i="5"/>
  <c r="AA70" i="5"/>
  <c r="AB70" i="5"/>
  <c r="AC70" i="5"/>
  <c r="AD70" i="5"/>
  <c r="AE70" i="5"/>
  <c r="AF70" i="5"/>
  <c r="AG70" i="5"/>
  <c r="AH70" i="5"/>
  <c r="AI70" i="5"/>
  <c r="AJ70" i="5"/>
  <c r="AK70" i="5"/>
  <c r="AL70" i="5"/>
  <c r="AM70" i="5"/>
  <c r="AN70" i="5"/>
  <c r="AO70" i="5"/>
  <c r="AP70" i="5"/>
  <c r="AQ70" i="5"/>
  <c r="AR70" i="5"/>
  <c r="AS70" i="5"/>
  <c r="AT70" i="5"/>
  <c r="AU70" i="5"/>
  <c r="AV70" i="5"/>
  <c r="AW70" i="5"/>
  <c r="AX70" i="5"/>
  <c r="AY70" i="5"/>
  <c r="AZ70" i="5"/>
  <c r="BA70" i="5"/>
  <c r="BB70" i="5"/>
  <c r="BC70" i="5"/>
  <c r="BD70" i="5"/>
  <c r="BE70" i="5"/>
  <c r="BF70" i="5"/>
  <c r="BG70" i="5"/>
  <c r="BH70" i="5"/>
  <c r="BI70" i="5"/>
  <c r="BJ70" i="5"/>
  <c r="BK70" i="5"/>
  <c r="BL70" i="5"/>
  <c r="BM70" i="5"/>
  <c r="BN70" i="5"/>
  <c r="BO70" i="5"/>
  <c r="BP70" i="5"/>
  <c r="BQ70" i="5"/>
  <c r="BR70" i="5"/>
  <c r="BS70" i="5"/>
  <c r="BT70" i="5"/>
  <c r="BU70" i="5"/>
  <c r="BV70" i="5"/>
  <c r="BW70" i="5"/>
  <c r="BX70" i="5"/>
  <c r="BY70" i="5"/>
  <c r="BZ70" i="5"/>
  <c r="CA70" i="5"/>
  <c r="CB70" i="5"/>
  <c r="CC70" i="5"/>
  <c r="CD70" i="5"/>
  <c r="CE70" i="5"/>
  <c r="CF70" i="5"/>
  <c r="CG70" i="5"/>
  <c r="CH70" i="5"/>
  <c r="CI70" i="5"/>
  <c r="CJ70" i="5"/>
  <c r="CK70" i="5"/>
  <c r="CL70" i="5"/>
  <c r="CM70" i="5"/>
  <c r="CN70" i="5"/>
  <c r="CO70" i="5"/>
  <c r="CP70" i="5"/>
  <c r="CQ70" i="5"/>
  <c r="CR70" i="5"/>
  <c r="CS70" i="5"/>
  <c r="CT70" i="5"/>
  <c r="CU70" i="5"/>
  <c r="CV70" i="5"/>
  <c r="CW70" i="5"/>
  <c r="CX70" i="5"/>
  <c r="CY70" i="5"/>
  <c r="CZ70" i="5"/>
  <c r="DA70" i="5"/>
  <c r="DB70" i="5"/>
  <c r="DC70" i="5"/>
  <c r="DD70" i="5"/>
  <c r="DE70" i="5"/>
  <c r="DF70" i="5"/>
  <c r="DG70" i="5"/>
  <c r="DH70" i="5"/>
  <c r="DI70" i="5"/>
  <c r="DJ70" i="5"/>
  <c r="DK70" i="5"/>
  <c r="DL70" i="5"/>
  <c r="DM70" i="5"/>
  <c r="DN70" i="5"/>
  <c r="DO70" i="5"/>
  <c r="DP70" i="5"/>
  <c r="DQ70" i="5"/>
  <c r="DR70" i="5"/>
  <c r="DS70" i="5"/>
  <c r="DT70" i="5"/>
  <c r="DU70" i="5"/>
  <c r="DV70" i="5"/>
  <c r="DW70" i="5"/>
  <c r="DX70" i="5"/>
  <c r="DY70" i="5"/>
  <c r="DZ70" i="5"/>
  <c r="EA70" i="5"/>
  <c r="EB70" i="5"/>
  <c r="EC70" i="5"/>
  <c r="ED70" i="5"/>
  <c r="EE70" i="5"/>
  <c r="EF70" i="5"/>
  <c r="EG70" i="5"/>
  <c r="EH70" i="5"/>
  <c r="EI70" i="5"/>
  <c r="EJ70" i="5"/>
  <c r="EK70" i="5"/>
  <c r="EL70" i="5"/>
  <c r="EM70" i="5"/>
  <c r="EN70" i="5"/>
  <c r="EO70" i="5"/>
  <c r="EP70" i="5"/>
  <c r="EQ70" i="5"/>
  <c r="ER70" i="5"/>
  <c r="ES70" i="5"/>
  <c r="ET70" i="5"/>
  <c r="EU70" i="5"/>
  <c r="EV70" i="5"/>
  <c r="EW70" i="5"/>
  <c r="EX70" i="5"/>
  <c r="EY70" i="5"/>
  <c r="EZ70" i="5"/>
  <c r="FA70" i="5"/>
  <c r="FB70" i="5"/>
  <c r="FC70" i="5"/>
  <c r="FD70" i="5"/>
  <c r="FE70" i="5"/>
  <c r="FF70" i="5"/>
  <c r="FG70" i="5"/>
  <c r="FH70" i="5"/>
  <c r="FI70" i="5"/>
  <c r="FJ70" i="5"/>
  <c r="FK70" i="5"/>
  <c r="FL70" i="5"/>
  <c r="FM70" i="5"/>
  <c r="FN70" i="5"/>
  <c r="FO70" i="5"/>
  <c r="FP70" i="5"/>
  <c r="FQ70" i="5"/>
  <c r="FR70" i="5"/>
  <c r="FS70" i="5"/>
  <c r="FT70" i="5"/>
  <c r="FU70" i="5"/>
  <c r="FV70" i="5"/>
  <c r="FW70" i="5"/>
  <c r="FX70" i="5"/>
  <c r="FY70" i="5"/>
  <c r="FZ70" i="5"/>
  <c r="GA70" i="5"/>
  <c r="GB70" i="5"/>
  <c r="GC70" i="5"/>
  <c r="GD70" i="5"/>
  <c r="GE70" i="5"/>
  <c r="GF70" i="5"/>
  <c r="GG70" i="5"/>
  <c r="GH70" i="5"/>
  <c r="GI70" i="5"/>
  <c r="GJ70" i="5"/>
  <c r="GK70" i="5"/>
  <c r="GL70" i="5"/>
  <c r="GM70" i="5"/>
  <c r="GN70" i="5"/>
  <c r="GO70" i="5"/>
  <c r="GP70" i="5"/>
  <c r="GQ70" i="5"/>
  <c r="GR70" i="5"/>
  <c r="GS70" i="5"/>
  <c r="GT70" i="5"/>
  <c r="GU70" i="5"/>
  <c r="GV70" i="5"/>
  <c r="GW70" i="5"/>
  <c r="GX70" i="5"/>
  <c r="GY70" i="5"/>
  <c r="GZ70" i="5"/>
  <c r="HA70" i="5"/>
  <c r="HB70" i="5"/>
  <c r="HC70" i="5"/>
  <c r="HD70" i="5"/>
  <c r="HE70" i="5"/>
  <c r="HF70" i="5"/>
  <c r="HG70" i="5"/>
  <c r="HH70" i="5"/>
  <c r="HI70" i="5"/>
  <c r="HJ70" i="5"/>
  <c r="HK70" i="5"/>
  <c r="HL70" i="5"/>
  <c r="HM70" i="5"/>
  <c r="HN70" i="5"/>
  <c r="HO70" i="5"/>
  <c r="HP70" i="5"/>
  <c r="HQ70" i="5"/>
  <c r="HR70" i="5"/>
  <c r="HS70" i="5"/>
  <c r="HT70" i="5"/>
  <c r="HU70" i="5"/>
  <c r="HV70" i="5"/>
  <c r="HW70" i="5"/>
  <c r="HX70" i="5"/>
  <c r="HY70" i="5"/>
  <c r="HZ70" i="5"/>
  <c r="IA70" i="5"/>
  <c r="IB70" i="5"/>
  <c r="IC70" i="5"/>
  <c r="ID70" i="5"/>
  <c r="IE70" i="5"/>
  <c r="IF70" i="5"/>
  <c r="IG70" i="5"/>
  <c r="IH70" i="5"/>
  <c r="II70" i="5"/>
  <c r="IJ70" i="5"/>
  <c r="IK70" i="5"/>
  <c r="IL70" i="5"/>
  <c r="IM70" i="5"/>
  <c r="IN70" i="5"/>
  <c r="IO70" i="5"/>
  <c r="IP70" i="5"/>
  <c r="IQ70" i="5"/>
  <c r="IR70" i="5"/>
  <c r="IS70" i="5"/>
  <c r="IT70" i="5"/>
  <c r="IU70" i="5"/>
  <c r="IV70" i="5"/>
  <c r="A69" i="5"/>
  <c r="B69" i="5"/>
  <c r="C69" i="5"/>
  <c r="D69" i="5"/>
  <c r="E69" i="5"/>
  <c r="F69" i="5"/>
  <c r="G69" i="5"/>
  <c r="H69" i="5"/>
  <c r="I69" i="5"/>
  <c r="J69" i="5"/>
  <c r="K69" i="5"/>
  <c r="L69" i="5"/>
  <c r="M69" i="5"/>
  <c r="N69" i="5"/>
  <c r="O69" i="5"/>
  <c r="P69" i="5"/>
  <c r="Q69" i="5"/>
  <c r="R69" i="5"/>
  <c r="S69" i="5"/>
  <c r="T69" i="5"/>
  <c r="U69" i="5"/>
  <c r="V69" i="5"/>
  <c r="W69" i="5"/>
  <c r="X69" i="5"/>
  <c r="Y69" i="5"/>
  <c r="Z69" i="5"/>
  <c r="AA69" i="5"/>
  <c r="AB69" i="5"/>
  <c r="AC69" i="5"/>
  <c r="AD69" i="5"/>
  <c r="AE69" i="5"/>
  <c r="AF69" i="5"/>
  <c r="AG69" i="5"/>
  <c r="AH69" i="5"/>
  <c r="AI69" i="5"/>
  <c r="AJ69" i="5"/>
  <c r="AK69" i="5"/>
  <c r="AL69" i="5"/>
  <c r="AM69" i="5"/>
  <c r="AN69" i="5"/>
  <c r="AO69" i="5"/>
  <c r="AP69" i="5"/>
  <c r="AQ69" i="5"/>
  <c r="AR69" i="5"/>
  <c r="AS69" i="5"/>
  <c r="AT69" i="5"/>
  <c r="AU69" i="5"/>
  <c r="AV69" i="5"/>
  <c r="AW69" i="5"/>
  <c r="AX69" i="5"/>
  <c r="AY69" i="5"/>
  <c r="AZ69" i="5"/>
  <c r="BA69" i="5"/>
  <c r="BB69" i="5"/>
  <c r="BC69" i="5"/>
  <c r="BD69" i="5"/>
  <c r="BE69" i="5"/>
  <c r="BF69" i="5"/>
  <c r="BG69" i="5"/>
  <c r="BH69" i="5"/>
  <c r="BI69" i="5"/>
  <c r="BJ69" i="5"/>
  <c r="BK69" i="5"/>
  <c r="BL69" i="5"/>
  <c r="BM69" i="5"/>
  <c r="BN69" i="5"/>
  <c r="BO69" i="5"/>
  <c r="BP69" i="5"/>
  <c r="BQ69" i="5"/>
  <c r="BR69" i="5"/>
  <c r="BS69" i="5"/>
  <c r="BT69" i="5"/>
  <c r="BU69" i="5"/>
  <c r="BV69" i="5"/>
  <c r="BW69" i="5"/>
  <c r="BX69" i="5"/>
  <c r="BY69" i="5"/>
  <c r="BZ69" i="5"/>
  <c r="CA69" i="5"/>
  <c r="CB69" i="5"/>
  <c r="CC69" i="5"/>
  <c r="CD69" i="5"/>
  <c r="CE69" i="5"/>
  <c r="CF69" i="5"/>
  <c r="CG69" i="5"/>
  <c r="CH69" i="5"/>
  <c r="CI69" i="5"/>
  <c r="CJ69" i="5"/>
  <c r="CK69" i="5"/>
  <c r="CL69" i="5"/>
  <c r="CM69" i="5"/>
  <c r="CN69" i="5"/>
  <c r="CO69" i="5"/>
  <c r="CP69" i="5"/>
  <c r="CQ69" i="5"/>
  <c r="CR69" i="5"/>
  <c r="CS69" i="5"/>
  <c r="CT69" i="5"/>
  <c r="CU69" i="5"/>
  <c r="CV69" i="5"/>
  <c r="CW69" i="5"/>
  <c r="CX69" i="5"/>
  <c r="CY69" i="5"/>
  <c r="CZ69" i="5"/>
  <c r="DA69" i="5"/>
  <c r="DB69" i="5"/>
  <c r="DC69" i="5"/>
  <c r="DD69" i="5"/>
  <c r="DE69" i="5"/>
  <c r="DF69" i="5"/>
  <c r="DG69" i="5"/>
  <c r="DH69" i="5"/>
  <c r="DI69" i="5"/>
  <c r="DJ69" i="5"/>
  <c r="DK69" i="5"/>
  <c r="DL69" i="5"/>
  <c r="DM69" i="5"/>
  <c r="DN69" i="5"/>
  <c r="DO69" i="5"/>
  <c r="DP69" i="5"/>
  <c r="DQ69" i="5"/>
  <c r="DR69" i="5"/>
  <c r="DS69" i="5"/>
  <c r="DT69" i="5"/>
  <c r="DU69" i="5"/>
  <c r="DV69" i="5"/>
  <c r="DW69" i="5"/>
  <c r="DX69" i="5"/>
  <c r="DY69" i="5"/>
  <c r="DZ69" i="5"/>
  <c r="EA69" i="5"/>
  <c r="EB69" i="5"/>
  <c r="EC69" i="5"/>
  <c r="ED69" i="5"/>
  <c r="EE69" i="5"/>
  <c r="EF69" i="5"/>
  <c r="EG69" i="5"/>
  <c r="EH69" i="5"/>
  <c r="EI69" i="5"/>
  <c r="EJ69" i="5"/>
  <c r="EK69" i="5"/>
  <c r="EL69" i="5"/>
  <c r="EM69" i="5"/>
  <c r="EN69" i="5"/>
  <c r="EO69" i="5"/>
  <c r="EP69" i="5"/>
  <c r="EQ69" i="5"/>
  <c r="ER69" i="5"/>
  <c r="ES69" i="5"/>
  <c r="ET69" i="5"/>
  <c r="EU69" i="5"/>
  <c r="EV69" i="5"/>
  <c r="EW69" i="5"/>
  <c r="EX69" i="5"/>
  <c r="EY69" i="5"/>
  <c r="EZ69" i="5"/>
  <c r="FA69" i="5"/>
  <c r="FB69" i="5"/>
  <c r="FC69" i="5"/>
  <c r="FD69" i="5"/>
  <c r="FE69" i="5"/>
  <c r="FF69" i="5"/>
  <c r="FG69" i="5"/>
  <c r="FH69" i="5"/>
  <c r="FI69" i="5"/>
  <c r="FJ69" i="5"/>
  <c r="FK69" i="5"/>
  <c r="FL69" i="5"/>
  <c r="FM69" i="5"/>
  <c r="FN69" i="5"/>
  <c r="FO69" i="5"/>
  <c r="FP69" i="5"/>
  <c r="FQ69" i="5"/>
  <c r="FR69" i="5"/>
  <c r="FS69" i="5"/>
  <c r="FT69" i="5"/>
  <c r="FU69" i="5"/>
  <c r="FV69" i="5"/>
  <c r="FW69" i="5"/>
  <c r="FX69" i="5"/>
  <c r="FY69" i="5"/>
  <c r="FZ69" i="5"/>
  <c r="GA69" i="5"/>
  <c r="GB69" i="5"/>
  <c r="GC69" i="5"/>
  <c r="GD69" i="5"/>
  <c r="GE69" i="5"/>
  <c r="GF69" i="5"/>
  <c r="GG69" i="5"/>
  <c r="GH69" i="5"/>
  <c r="GI69" i="5"/>
  <c r="GJ69" i="5"/>
  <c r="GK69" i="5"/>
  <c r="GL69" i="5"/>
  <c r="GM69" i="5"/>
  <c r="GN69" i="5"/>
  <c r="GO69" i="5"/>
  <c r="GP69" i="5"/>
  <c r="GQ69" i="5"/>
  <c r="GR69" i="5"/>
  <c r="GS69" i="5"/>
  <c r="GT69" i="5"/>
  <c r="GU69" i="5"/>
  <c r="GV69" i="5"/>
  <c r="GW69" i="5"/>
  <c r="GX69" i="5"/>
  <c r="GY69" i="5"/>
  <c r="GZ69" i="5"/>
  <c r="HA69" i="5"/>
  <c r="HB69" i="5"/>
  <c r="HC69" i="5"/>
  <c r="HD69" i="5"/>
  <c r="HE69" i="5"/>
  <c r="HF69" i="5"/>
  <c r="HG69" i="5"/>
  <c r="HH69" i="5"/>
  <c r="HI69" i="5"/>
  <c r="HJ69" i="5"/>
  <c r="HK69" i="5"/>
  <c r="HL69" i="5"/>
  <c r="HM69" i="5"/>
  <c r="HN69" i="5"/>
  <c r="HO69" i="5"/>
  <c r="HP69" i="5"/>
  <c r="HQ69" i="5"/>
  <c r="HR69" i="5"/>
  <c r="HS69" i="5"/>
  <c r="HT69" i="5"/>
  <c r="HU69" i="5"/>
  <c r="HV69" i="5"/>
  <c r="HW69" i="5"/>
  <c r="HX69" i="5"/>
  <c r="HY69" i="5"/>
  <c r="HZ69" i="5"/>
  <c r="IA69" i="5"/>
  <c r="IB69" i="5"/>
  <c r="IC69" i="5"/>
  <c r="ID69" i="5"/>
  <c r="IE69" i="5"/>
  <c r="IF69" i="5"/>
  <c r="IG69" i="5"/>
  <c r="IH69" i="5"/>
  <c r="II69" i="5"/>
  <c r="IJ69" i="5"/>
  <c r="IK69" i="5"/>
  <c r="IL69" i="5"/>
  <c r="IM69" i="5"/>
  <c r="IN69" i="5"/>
  <c r="IO69" i="5"/>
  <c r="IP69" i="5"/>
  <c r="IQ69" i="5"/>
  <c r="IR69" i="5"/>
  <c r="IS69" i="5"/>
  <c r="IT69" i="5"/>
  <c r="IU69" i="5"/>
  <c r="IV69" i="5"/>
  <c r="A68" i="5"/>
  <c r="B68" i="5"/>
  <c r="C68" i="5"/>
  <c r="D68" i="5"/>
  <c r="E68" i="5"/>
  <c r="F68" i="5"/>
  <c r="G68" i="5"/>
  <c r="H68" i="5"/>
  <c r="I68" i="5"/>
  <c r="J68" i="5"/>
  <c r="K68" i="5"/>
  <c r="L68" i="5"/>
  <c r="M68" i="5"/>
  <c r="N68" i="5"/>
  <c r="O68" i="5"/>
  <c r="P68" i="5"/>
  <c r="Q68" i="5"/>
  <c r="R68" i="5"/>
  <c r="S68" i="5"/>
  <c r="T68" i="5"/>
  <c r="U68" i="5"/>
  <c r="V68" i="5"/>
  <c r="W68" i="5"/>
  <c r="X68" i="5"/>
  <c r="Y68" i="5"/>
  <c r="Z68" i="5"/>
  <c r="AA68" i="5"/>
  <c r="AB68" i="5"/>
  <c r="AC68" i="5"/>
  <c r="AD68" i="5"/>
  <c r="AE68" i="5"/>
  <c r="AF68" i="5"/>
  <c r="AG68" i="5"/>
  <c r="AH68" i="5"/>
  <c r="AI68" i="5"/>
  <c r="AJ68" i="5"/>
  <c r="AK68" i="5"/>
  <c r="AL68" i="5"/>
  <c r="AM68" i="5"/>
  <c r="AN68" i="5"/>
  <c r="AO68" i="5"/>
  <c r="AP68" i="5"/>
  <c r="AQ68" i="5"/>
  <c r="AR68" i="5"/>
  <c r="AS68" i="5"/>
  <c r="AT68" i="5"/>
  <c r="AU68" i="5"/>
  <c r="AV68" i="5"/>
  <c r="AW68" i="5"/>
  <c r="AX68" i="5"/>
  <c r="AY68" i="5"/>
  <c r="AZ68" i="5"/>
  <c r="BA68" i="5"/>
  <c r="BB68" i="5"/>
  <c r="BC68" i="5"/>
  <c r="BD68" i="5"/>
  <c r="BE68" i="5"/>
  <c r="BF68" i="5"/>
  <c r="BG68" i="5"/>
  <c r="BH68" i="5"/>
  <c r="BI68" i="5"/>
  <c r="BJ68" i="5"/>
  <c r="BK68" i="5"/>
  <c r="BL68" i="5"/>
  <c r="BM68" i="5"/>
  <c r="BN68" i="5"/>
  <c r="BO68" i="5"/>
  <c r="BP68" i="5"/>
  <c r="BQ68" i="5"/>
  <c r="BR68" i="5"/>
  <c r="BS68" i="5"/>
  <c r="BT68" i="5"/>
  <c r="BU68" i="5"/>
  <c r="BV68" i="5"/>
  <c r="BW68" i="5"/>
  <c r="BX68" i="5"/>
  <c r="BY68" i="5"/>
  <c r="BZ68" i="5"/>
  <c r="CA68" i="5"/>
  <c r="CB68" i="5"/>
  <c r="CC68" i="5"/>
  <c r="CD68" i="5"/>
  <c r="CE68" i="5"/>
  <c r="CF68" i="5"/>
  <c r="CG68" i="5"/>
  <c r="CH68" i="5"/>
  <c r="CI68" i="5"/>
  <c r="CJ68" i="5"/>
  <c r="CK68" i="5"/>
  <c r="CL68" i="5"/>
  <c r="CM68" i="5"/>
  <c r="CN68" i="5"/>
  <c r="CO68" i="5"/>
  <c r="CP68" i="5"/>
  <c r="CQ68" i="5"/>
  <c r="CR68" i="5"/>
  <c r="CS68" i="5"/>
  <c r="CT68" i="5"/>
  <c r="CU68" i="5"/>
  <c r="CV68" i="5"/>
  <c r="CW68" i="5"/>
  <c r="CX68" i="5"/>
  <c r="CY68" i="5"/>
  <c r="CZ68" i="5"/>
  <c r="DA68" i="5"/>
  <c r="DB68" i="5"/>
  <c r="DC68" i="5"/>
  <c r="DD68" i="5"/>
  <c r="DE68" i="5"/>
  <c r="DF68" i="5"/>
  <c r="DG68" i="5"/>
  <c r="DH68" i="5"/>
  <c r="DI68" i="5"/>
  <c r="DJ68" i="5"/>
  <c r="DK68" i="5"/>
  <c r="DL68" i="5"/>
  <c r="DM68" i="5"/>
  <c r="DN68" i="5"/>
  <c r="DO68" i="5"/>
  <c r="DP68" i="5"/>
  <c r="DQ68" i="5"/>
  <c r="DR68" i="5"/>
  <c r="DS68" i="5"/>
  <c r="DT68" i="5"/>
  <c r="DU68" i="5"/>
  <c r="DV68" i="5"/>
  <c r="DW68" i="5"/>
  <c r="DX68" i="5"/>
  <c r="DY68" i="5"/>
  <c r="DZ68" i="5"/>
  <c r="EA68" i="5"/>
  <c r="EB68" i="5"/>
  <c r="EC68" i="5"/>
  <c r="ED68" i="5"/>
  <c r="EE68" i="5"/>
  <c r="EF68" i="5"/>
  <c r="EG68" i="5"/>
  <c r="EH68" i="5"/>
  <c r="EI68" i="5"/>
  <c r="EJ68" i="5"/>
  <c r="EK68" i="5"/>
  <c r="EL68" i="5"/>
  <c r="EM68" i="5"/>
  <c r="EN68" i="5"/>
  <c r="EO68" i="5"/>
  <c r="EP68" i="5"/>
  <c r="EQ68" i="5"/>
  <c r="ER68" i="5"/>
  <c r="ES68" i="5"/>
  <c r="ET68" i="5"/>
  <c r="EU68" i="5"/>
  <c r="EV68" i="5"/>
  <c r="EW68" i="5"/>
  <c r="EX68" i="5"/>
  <c r="EY68" i="5"/>
  <c r="EZ68" i="5"/>
  <c r="FA68" i="5"/>
  <c r="FB68" i="5"/>
  <c r="FC68" i="5"/>
  <c r="FD68" i="5"/>
  <c r="FE68" i="5"/>
  <c r="FF68" i="5"/>
  <c r="FG68" i="5"/>
  <c r="FH68" i="5"/>
  <c r="FI68" i="5"/>
  <c r="FJ68" i="5"/>
  <c r="FK68" i="5"/>
  <c r="FL68" i="5"/>
  <c r="FM68" i="5"/>
  <c r="FN68" i="5"/>
  <c r="FO68" i="5"/>
  <c r="FP68" i="5"/>
  <c r="FQ68" i="5"/>
  <c r="FR68" i="5"/>
  <c r="FS68" i="5"/>
  <c r="FT68" i="5"/>
  <c r="FU68" i="5"/>
  <c r="FV68" i="5"/>
  <c r="FW68" i="5"/>
  <c r="FX68" i="5"/>
  <c r="FY68" i="5"/>
  <c r="FZ68" i="5"/>
  <c r="GA68" i="5"/>
  <c r="GB68" i="5"/>
  <c r="GC68" i="5"/>
  <c r="GD68" i="5"/>
  <c r="GE68" i="5"/>
  <c r="GF68" i="5"/>
  <c r="GG68" i="5"/>
  <c r="GH68" i="5"/>
  <c r="GI68" i="5"/>
  <c r="GJ68" i="5"/>
  <c r="GK68" i="5"/>
  <c r="GL68" i="5"/>
  <c r="GM68" i="5"/>
  <c r="GN68" i="5"/>
  <c r="GO68" i="5"/>
  <c r="GP68" i="5"/>
  <c r="GQ68" i="5"/>
  <c r="GR68" i="5"/>
  <c r="GS68" i="5"/>
  <c r="GT68" i="5"/>
  <c r="GU68" i="5"/>
  <c r="GV68" i="5"/>
  <c r="GW68" i="5"/>
  <c r="GX68" i="5"/>
  <c r="GY68" i="5"/>
  <c r="GZ68" i="5"/>
  <c r="HA68" i="5"/>
  <c r="HB68" i="5"/>
  <c r="HC68" i="5"/>
  <c r="HD68" i="5"/>
  <c r="HE68" i="5"/>
  <c r="HF68" i="5"/>
  <c r="HG68" i="5"/>
  <c r="HH68" i="5"/>
  <c r="HI68" i="5"/>
  <c r="HJ68" i="5"/>
  <c r="HK68" i="5"/>
  <c r="HL68" i="5"/>
  <c r="HM68" i="5"/>
  <c r="HN68" i="5"/>
  <c r="HO68" i="5"/>
  <c r="HP68" i="5"/>
  <c r="HQ68" i="5"/>
  <c r="HR68" i="5"/>
  <c r="HS68" i="5"/>
  <c r="HT68" i="5"/>
  <c r="HU68" i="5"/>
  <c r="HV68" i="5"/>
  <c r="HW68" i="5"/>
  <c r="HX68" i="5"/>
  <c r="HY68" i="5"/>
  <c r="HZ68" i="5"/>
  <c r="IA68" i="5"/>
  <c r="IB68" i="5"/>
  <c r="IC68" i="5"/>
  <c r="ID68" i="5"/>
  <c r="IE68" i="5"/>
  <c r="IF68" i="5"/>
  <c r="IG68" i="5"/>
  <c r="IH68" i="5"/>
  <c r="II68" i="5"/>
  <c r="IJ68" i="5"/>
  <c r="IK68" i="5"/>
  <c r="IL68" i="5"/>
  <c r="IM68" i="5"/>
  <c r="IN68" i="5"/>
  <c r="IO68" i="5"/>
  <c r="IP68" i="5"/>
  <c r="IQ68" i="5"/>
  <c r="IR68" i="5"/>
  <c r="IS68" i="5"/>
  <c r="IT68" i="5"/>
  <c r="IU68" i="5"/>
  <c r="IV68" i="5"/>
  <c r="A67" i="5"/>
  <c r="B67" i="5"/>
  <c r="C67" i="5"/>
  <c r="D67" i="5"/>
  <c r="E67" i="5"/>
  <c r="F67" i="5"/>
  <c r="G67" i="5"/>
  <c r="H67" i="5"/>
  <c r="I67" i="5"/>
  <c r="J67" i="5"/>
  <c r="K67" i="5"/>
  <c r="L67" i="5"/>
  <c r="M67" i="5"/>
  <c r="N67" i="5"/>
  <c r="O67" i="5"/>
  <c r="P67" i="5"/>
  <c r="Q67" i="5"/>
  <c r="R67" i="5"/>
  <c r="S67" i="5"/>
  <c r="T67" i="5"/>
  <c r="U67" i="5"/>
  <c r="V67" i="5"/>
  <c r="W67" i="5"/>
  <c r="X67" i="5"/>
  <c r="Y67" i="5"/>
  <c r="Z67" i="5"/>
  <c r="AA67" i="5"/>
  <c r="AB67" i="5"/>
  <c r="AC67" i="5"/>
  <c r="AD67" i="5"/>
  <c r="AE67" i="5"/>
  <c r="AF67" i="5"/>
  <c r="AG67" i="5"/>
  <c r="AH67" i="5"/>
  <c r="AI67" i="5"/>
  <c r="AJ67" i="5"/>
  <c r="AK67" i="5"/>
  <c r="AL67" i="5"/>
  <c r="AM67" i="5"/>
  <c r="AN67" i="5"/>
  <c r="AO67" i="5"/>
  <c r="AP67" i="5"/>
  <c r="AQ67" i="5"/>
  <c r="AR67" i="5"/>
  <c r="AS67" i="5"/>
  <c r="AT67" i="5"/>
  <c r="AU67" i="5"/>
  <c r="AV67" i="5"/>
  <c r="AW67" i="5"/>
  <c r="AX67" i="5"/>
  <c r="AY67" i="5"/>
  <c r="AZ67" i="5"/>
  <c r="BA67" i="5"/>
  <c r="BB67" i="5"/>
  <c r="BC67" i="5"/>
  <c r="BD67" i="5"/>
  <c r="BE67" i="5"/>
  <c r="BF67" i="5"/>
  <c r="BG67" i="5"/>
  <c r="BH67" i="5"/>
  <c r="BI67" i="5"/>
  <c r="BJ67" i="5"/>
  <c r="BK67" i="5"/>
  <c r="BL67" i="5"/>
  <c r="BM67" i="5"/>
  <c r="BN67" i="5"/>
  <c r="BO67" i="5"/>
  <c r="BP67" i="5"/>
  <c r="BQ67" i="5"/>
  <c r="BR67" i="5"/>
  <c r="BS67" i="5"/>
  <c r="BT67" i="5"/>
  <c r="BU67" i="5"/>
  <c r="BV67" i="5"/>
  <c r="BW67" i="5"/>
  <c r="BX67" i="5"/>
  <c r="BY67" i="5"/>
  <c r="BZ67" i="5"/>
  <c r="CA67" i="5"/>
  <c r="CB67" i="5"/>
  <c r="CC67" i="5"/>
  <c r="CD67" i="5"/>
  <c r="CE67" i="5"/>
  <c r="CF67" i="5"/>
  <c r="CG67" i="5"/>
  <c r="CH67" i="5"/>
  <c r="CI67" i="5"/>
  <c r="CJ67" i="5"/>
  <c r="CK67" i="5"/>
  <c r="CL67" i="5"/>
  <c r="CM67" i="5"/>
  <c r="CN67" i="5"/>
  <c r="CO67" i="5"/>
  <c r="CP67" i="5"/>
  <c r="CQ67" i="5"/>
  <c r="CR67" i="5"/>
  <c r="CS67" i="5"/>
  <c r="CT67" i="5"/>
  <c r="CU67" i="5"/>
  <c r="CV67" i="5"/>
  <c r="CW67" i="5"/>
  <c r="CX67" i="5"/>
  <c r="CY67" i="5"/>
  <c r="CZ67" i="5"/>
  <c r="DA67" i="5"/>
  <c r="DB67" i="5"/>
  <c r="DC67" i="5"/>
  <c r="DD67" i="5"/>
  <c r="DE67" i="5"/>
  <c r="DF67" i="5"/>
  <c r="DG67" i="5"/>
  <c r="DH67" i="5"/>
  <c r="DI67" i="5"/>
  <c r="DJ67" i="5"/>
  <c r="DK67" i="5"/>
  <c r="DL67" i="5"/>
  <c r="DM67" i="5"/>
  <c r="DN67" i="5"/>
  <c r="DO67" i="5"/>
  <c r="DP67" i="5"/>
  <c r="DQ67" i="5"/>
  <c r="DR67" i="5"/>
  <c r="DS67" i="5"/>
  <c r="DT67" i="5"/>
  <c r="DU67" i="5"/>
  <c r="DV67" i="5"/>
  <c r="DW67" i="5"/>
  <c r="DX67" i="5"/>
  <c r="DY67" i="5"/>
  <c r="DZ67" i="5"/>
  <c r="EA67" i="5"/>
  <c r="EB67" i="5"/>
  <c r="EC67" i="5"/>
  <c r="ED67" i="5"/>
  <c r="EE67" i="5"/>
  <c r="EF67" i="5"/>
  <c r="EG67" i="5"/>
  <c r="EH67" i="5"/>
  <c r="EI67" i="5"/>
  <c r="EJ67" i="5"/>
  <c r="EK67" i="5"/>
  <c r="EL67" i="5"/>
  <c r="EM67" i="5"/>
  <c r="EN67" i="5"/>
  <c r="EO67" i="5"/>
  <c r="EP67" i="5"/>
  <c r="EQ67" i="5"/>
  <c r="ER67" i="5"/>
  <c r="ES67" i="5"/>
  <c r="ET67" i="5"/>
  <c r="EU67" i="5"/>
  <c r="EV67" i="5"/>
  <c r="EW67" i="5"/>
  <c r="EX67" i="5"/>
  <c r="EY67" i="5"/>
  <c r="EZ67" i="5"/>
  <c r="FA67" i="5"/>
  <c r="FB67" i="5"/>
  <c r="FC67" i="5"/>
  <c r="FD67" i="5"/>
  <c r="FE67" i="5"/>
  <c r="FF67" i="5"/>
  <c r="FG67" i="5"/>
  <c r="FH67" i="5"/>
  <c r="FI67" i="5"/>
  <c r="FJ67" i="5"/>
  <c r="FK67" i="5"/>
  <c r="FL67" i="5"/>
  <c r="FM67" i="5"/>
  <c r="FN67" i="5"/>
  <c r="FO67" i="5"/>
  <c r="FP67" i="5"/>
  <c r="FQ67" i="5"/>
  <c r="FR67" i="5"/>
  <c r="FS67" i="5"/>
  <c r="FT67" i="5"/>
  <c r="FU67" i="5"/>
  <c r="FV67" i="5"/>
  <c r="FW67" i="5"/>
  <c r="FX67" i="5"/>
  <c r="FY67" i="5"/>
  <c r="FZ67" i="5"/>
  <c r="GA67" i="5"/>
  <c r="GB67" i="5"/>
  <c r="GC67" i="5"/>
  <c r="GD67" i="5"/>
  <c r="GE67" i="5"/>
  <c r="GF67" i="5"/>
  <c r="GG67" i="5"/>
  <c r="GH67" i="5"/>
  <c r="GI67" i="5"/>
  <c r="GJ67" i="5"/>
  <c r="GK67" i="5"/>
  <c r="GL67" i="5"/>
  <c r="GM67" i="5"/>
  <c r="GN67" i="5"/>
  <c r="GO67" i="5"/>
  <c r="GP67" i="5"/>
  <c r="GQ67" i="5"/>
  <c r="GR67" i="5"/>
  <c r="GS67" i="5"/>
  <c r="GT67" i="5"/>
  <c r="GU67" i="5"/>
  <c r="GV67" i="5"/>
  <c r="GW67" i="5"/>
  <c r="GX67" i="5"/>
  <c r="GY67" i="5"/>
  <c r="GZ67" i="5"/>
  <c r="HA67" i="5"/>
  <c r="HB67" i="5"/>
  <c r="HC67" i="5"/>
  <c r="HD67" i="5"/>
  <c r="HE67" i="5"/>
  <c r="HF67" i="5"/>
  <c r="HG67" i="5"/>
  <c r="HH67" i="5"/>
  <c r="HI67" i="5"/>
  <c r="HJ67" i="5"/>
  <c r="HK67" i="5"/>
  <c r="HL67" i="5"/>
  <c r="HM67" i="5"/>
  <c r="HN67" i="5"/>
  <c r="HO67" i="5"/>
  <c r="HP67" i="5"/>
  <c r="HQ67" i="5"/>
  <c r="HR67" i="5"/>
  <c r="HS67" i="5"/>
  <c r="HT67" i="5"/>
  <c r="HU67" i="5"/>
  <c r="HV67" i="5"/>
  <c r="HW67" i="5"/>
  <c r="HX67" i="5"/>
  <c r="HY67" i="5"/>
  <c r="HZ67" i="5"/>
  <c r="IA67" i="5"/>
  <c r="IB67" i="5"/>
  <c r="IC67" i="5"/>
  <c r="ID67" i="5"/>
  <c r="IE67" i="5"/>
  <c r="IF67" i="5"/>
  <c r="IG67" i="5"/>
  <c r="IH67" i="5"/>
  <c r="II67" i="5"/>
  <c r="IJ67" i="5"/>
  <c r="IK67" i="5"/>
  <c r="IL67" i="5"/>
  <c r="IM67" i="5"/>
  <c r="IN67" i="5"/>
  <c r="IO67" i="5"/>
  <c r="IP67" i="5"/>
  <c r="IQ67" i="5"/>
  <c r="IR67" i="5"/>
  <c r="IS67" i="5"/>
  <c r="IT67" i="5"/>
  <c r="IU67" i="5"/>
  <c r="IV67" i="5"/>
  <c r="A66" i="5"/>
  <c r="B66" i="5"/>
  <c r="C66" i="5"/>
  <c r="D66" i="5"/>
  <c r="E66" i="5"/>
  <c r="F66" i="5"/>
  <c r="G66" i="5"/>
  <c r="H66" i="5"/>
  <c r="I66" i="5"/>
  <c r="J66" i="5"/>
  <c r="K66" i="5"/>
  <c r="L66" i="5"/>
  <c r="M66" i="5"/>
  <c r="N66" i="5"/>
  <c r="O66" i="5"/>
  <c r="P66" i="5"/>
  <c r="Q66" i="5"/>
  <c r="R66" i="5"/>
  <c r="S66" i="5"/>
  <c r="T66" i="5"/>
  <c r="U66" i="5"/>
  <c r="V66" i="5"/>
  <c r="W66" i="5"/>
  <c r="X66" i="5"/>
  <c r="Y66" i="5"/>
  <c r="Z66" i="5"/>
  <c r="AA66" i="5"/>
  <c r="AB66" i="5"/>
  <c r="AC66" i="5"/>
  <c r="AD66" i="5"/>
  <c r="AE66" i="5"/>
  <c r="AF66" i="5"/>
  <c r="AG66" i="5"/>
  <c r="AH66" i="5"/>
  <c r="AI66" i="5"/>
  <c r="AJ66" i="5"/>
  <c r="AK66" i="5"/>
  <c r="AL66" i="5"/>
  <c r="AM66" i="5"/>
  <c r="AN66" i="5"/>
  <c r="AO66" i="5"/>
  <c r="AP66" i="5"/>
  <c r="AQ66" i="5"/>
  <c r="AR66" i="5"/>
  <c r="AS66" i="5"/>
  <c r="AT66" i="5"/>
  <c r="AU66" i="5"/>
  <c r="AV66" i="5"/>
  <c r="AW66" i="5"/>
  <c r="AX66" i="5"/>
  <c r="AY66" i="5"/>
  <c r="AZ66" i="5"/>
  <c r="BA66" i="5"/>
  <c r="BB66" i="5"/>
  <c r="BC66" i="5"/>
  <c r="BD66" i="5"/>
  <c r="BE66" i="5"/>
  <c r="BF66" i="5"/>
  <c r="BG66" i="5"/>
  <c r="BH66" i="5"/>
  <c r="BI66" i="5"/>
  <c r="BJ66" i="5"/>
  <c r="BK66" i="5"/>
  <c r="BL66" i="5"/>
  <c r="BM66" i="5"/>
  <c r="BN66" i="5"/>
  <c r="BO66" i="5"/>
  <c r="BP66" i="5"/>
  <c r="BQ66" i="5"/>
  <c r="BR66" i="5"/>
  <c r="BS66" i="5"/>
  <c r="BT66" i="5"/>
  <c r="BU66" i="5"/>
  <c r="BV66" i="5"/>
  <c r="BW66" i="5"/>
  <c r="BX66" i="5"/>
  <c r="BY66" i="5"/>
  <c r="BZ66" i="5"/>
  <c r="CA66" i="5"/>
  <c r="CB66" i="5"/>
  <c r="CC66" i="5"/>
  <c r="CD66" i="5"/>
  <c r="CE66" i="5"/>
  <c r="CF66" i="5"/>
  <c r="CG66" i="5"/>
  <c r="CH66" i="5"/>
  <c r="CI66" i="5"/>
  <c r="CJ66" i="5"/>
  <c r="CK66" i="5"/>
  <c r="CL66" i="5"/>
  <c r="CM66" i="5"/>
  <c r="CN66" i="5"/>
  <c r="CO66" i="5"/>
  <c r="CP66" i="5"/>
  <c r="CQ66" i="5"/>
  <c r="CR66" i="5"/>
  <c r="CS66" i="5"/>
  <c r="CT66" i="5"/>
  <c r="CU66" i="5"/>
  <c r="CV66" i="5"/>
  <c r="CW66" i="5"/>
  <c r="CX66" i="5"/>
  <c r="CY66" i="5"/>
  <c r="CZ66" i="5"/>
  <c r="DA66" i="5"/>
  <c r="DB66" i="5"/>
  <c r="DC66" i="5"/>
  <c r="DD66" i="5"/>
  <c r="DE66" i="5"/>
  <c r="DF66" i="5"/>
  <c r="DG66" i="5"/>
  <c r="DH66" i="5"/>
  <c r="DI66" i="5"/>
  <c r="DJ66" i="5"/>
  <c r="DK66" i="5"/>
  <c r="DL66" i="5"/>
  <c r="DM66" i="5"/>
  <c r="DN66" i="5"/>
  <c r="DO66" i="5"/>
  <c r="DP66" i="5"/>
  <c r="DQ66" i="5"/>
  <c r="DR66" i="5"/>
  <c r="DS66" i="5"/>
  <c r="DT66" i="5"/>
  <c r="DU66" i="5"/>
  <c r="DV66" i="5"/>
  <c r="DW66" i="5"/>
  <c r="DX66" i="5"/>
  <c r="DY66" i="5"/>
  <c r="DZ66" i="5"/>
  <c r="EA66" i="5"/>
  <c r="EB66" i="5"/>
  <c r="EC66" i="5"/>
  <c r="ED66" i="5"/>
  <c r="EE66" i="5"/>
  <c r="EF66" i="5"/>
  <c r="EG66" i="5"/>
  <c r="EH66" i="5"/>
  <c r="EI66" i="5"/>
  <c r="EJ66" i="5"/>
  <c r="EK66" i="5"/>
  <c r="EL66" i="5"/>
  <c r="EM66" i="5"/>
  <c r="EN66" i="5"/>
  <c r="EO66" i="5"/>
  <c r="EP66" i="5"/>
  <c r="EQ66" i="5"/>
  <c r="ER66" i="5"/>
  <c r="ES66" i="5"/>
  <c r="ET66" i="5"/>
  <c r="EU66" i="5"/>
  <c r="EV66" i="5"/>
  <c r="EW66" i="5"/>
  <c r="EX66" i="5"/>
  <c r="EY66" i="5"/>
  <c r="EZ66" i="5"/>
  <c r="FA66" i="5"/>
  <c r="FB66" i="5"/>
  <c r="FC66" i="5"/>
  <c r="FD66" i="5"/>
  <c r="FE66" i="5"/>
  <c r="FF66" i="5"/>
  <c r="FG66" i="5"/>
  <c r="FH66" i="5"/>
  <c r="FI66" i="5"/>
  <c r="FJ66" i="5"/>
  <c r="FK66" i="5"/>
  <c r="FL66" i="5"/>
  <c r="FM66" i="5"/>
  <c r="FN66" i="5"/>
  <c r="FO66" i="5"/>
  <c r="FP66" i="5"/>
  <c r="FQ66" i="5"/>
  <c r="FR66" i="5"/>
  <c r="FS66" i="5"/>
  <c r="FT66" i="5"/>
  <c r="FU66" i="5"/>
  <c r="FV66" i="5"/>
  <c r="FW66" i="5"/>
  <c r="FX66" i="5"/>
  <c r="FY66" i="5"/>
  <c r="FZ66" i="5"/>
  <c r="GA66" i="5"/>
  <c r="GB66" i="5"/>
  <c r="GC66" i="5"/>
  <c r="GD66" i="5"/>
  <c r="GE66" i="5"/>
  <c r="GF66" i="5"/>
  <c r="GG66" i="5"/>
  <c r="GH66" i="5"/>
  <c r="GI66" i="5"/>
  <c r="GJ66" i="5"/>
  <c r="GK66" i="5"/>
  <c r="GL66" i="5"/>
  <c r="GM66" i="5"/>
  <c r="GN66" i="5"/>
  <c r="GO66" i="5"/>
  <c r="GP66" i="5"/>
  <c r="GQ66" i="5"/>
  <c r="GR66" i="5"/>
  <c r="GS66" i="5"/>
  <c r="GT66" i="5"/>
  <c r="GU66" i="5"/>
  <c r="GV66" i="5"/>
  <c r="GW66" i="5"/>
  <c r="GX66" i="5"/>
  <c r="GY66" i="5"/>
  <c r="GZ66" i="5"/>
  <c r="HA66" i="5"/>
  <c r="HB66" i="5"/>
  <c r="HC66" i="5"/>
  <c r="HD66" i="5"/>
  <c r="HE66" i="5"/>
  <c r="HF66" i="5"/>
  <c r="HG66" i="5"/>
  <c r="HH66" i="5"/>
  <c r="HI66" i="5"/>
  <c r="HJ66" i="5"/>
  <c r="HK66" i="5"/>
  <c r="HL66" i="5"/>
  <c r="HM66" i="5"/>
  <c r="HN66" i="5"/>
  <c r="HO66" i="5"/>
  <c r="HP66" i="5"/>
  <c r="HQ66" i="5"/>
  <c r="HR66" i="5"/>
  <c r="HS66" i="5"/>
  <c r="HT66" i="5"/>
  <c r="HU66" i="5"/>
  <c r="HV66" i="5"/>
  <c r="HW66" i="5"/>
  <c r="HX66" i="5"/>
  <c r="HY66" i="5"/>
  <c r="HZ66" i="5"/>
  <c r="IA66" i="5"/>
  <c r="IB66" i="5"/>
  <c r="IC66" i="5"/>
  <c r="ID66" i="5"/>
  <c r="IE66" i="5"/>
  <c r="IF66" i="5"/>
  <c r="IG66" i="5"/>
  <c r="IH66" i="5"/>
  <c r="II66" i="5"/>
  <c r="IJ66" i="5"/>
  <c r="IK66" i="5"/>
  <c r="IL66" i="5"/>
  <c r="IM66" i="5"/>
  <c r="IN66" i="5"/>
  <c r="IO66" i="5"/>
  <c r="IP66" i="5"/>
  <c r="IQ66" i="5"/>
  <c r="IR66" i="5"/>
  <c r="IS66" i="5"/>
  <c r="IT66" i="5"/>
  <c r="IU66" i="5"/>
  <c r="IV66" i="5"/>
  <c r="A65" i="5"/>
  <c r="B65" i="5"/>
  <c r="C65" i="5"/>
  <c r="D65" i="5"/>
  <c r="E65" i="5"/>
  <c r="F65" i="5"/>
  <c r="G65" i="5"/>
  <c r="H65" i="5"/>
  <c r="I65" i="5"/>
  <c r="J65" i="5"/>
  <c r="K65" i="5"/>
  <c r="L65" i="5"/>
  <c r="M65" i="5"/>
  <c r="N65" i="5"/>
  <c r="O65" i="5"/>
  <c r="P65" i="5"/>
  <c r="Q65" i="5"/>
  <c r="R65" i="5"/>
  <c r="S65" i="5"/>
  <c r="T65" i="5"/>
  <c r="U65" i="5"/>
  <c r="V65" i="5"/>
  <c r="W65" i="5"/>
  <c r="X65" i="5"/>
  <c r="Y65" i="5"/>
  <c r="Z65" i="5"/>
  <c r="AA65" i="5"/>
  <c r="AB65" i="5"/>
  <c r="AC65" i="5"/>
  <c r="AD65" i="5"/>
  <c r="AE65" i="5"/>
  <c r="AF65" i="5"/>
  <c r="AG65" i="5"/>
  <c r="AH65" i="5"/>
  <c r="AI65" i="5"/>
  <c r="AJ65" i="5"/>
  <c r="AK65" i="5"/>
  <c r="AL65" i="5"/>
  <c r="AM65" i="5"/>
  <c r="AN65" i="5"/>
  <c r="AO65" i="5"/>
  <c r="AP65" i="5"/>
  <c r="AQ65" i="5"/>
  <c r="AR65" i="5"/>
  <c r="AS65" i="5"/>
  <c r="AT65" i="5"/>
  <c r="AU65" i="5"/>
  <c r="AV65" i="5"/>
  <c r="AW65" i="5"/>
  <c r="AX65" i="5"/>
  <c r="AY65" i="5"/>
  <c r="AZ65" i="5"/>
  <c r="BA65" i="5"/>
  <c r="BB65" i="5"/>
  <c r="BC65" i="5"/>
  <c r="BD65" i="5"/>
  <c r="BE65" i="5"/>
  <c r="BF65" i="5"/>
  <c r="BG65" i="5"/>
  <c r="BH65" i="5"/>
  <c r="BI65" i="5"/>
  <c r="BJ65" i="5"/>
  <c r="BK65" i="5"/>
  <c r="BL65" i="5"/>
  <c r="BM65" i="5"/>
  <c r="BN65" i="5"/>
  <c r="BO65" i="5"/>
  <c r="BP65" i="5"/>
  <c r="BQ65" i="5"/>
  <c r="BR65" i="5"/>
  <c r="BS65" i="5"/>
  <c r="BT65" i="5"/>
  <c r="BU65" i="5"/>
  <c r="BV65" i="5"/>
  <c r="BW65" i="5"/>
  <c r="BX65" i="5"/>
  <c r="BY65" i="5"/>
  <c r="BZ65" i="5"/>
  <c r="CA65" i="5"/>
  <c r="CB65" i="5"/>
  <c r="CC65" i="5"/>
  <c r="CD65" i="5"/>
  <c r="CE65" i="5"/>
  <c r="CF65" i="5"/>
  <c r="CG65" i="5"/>
  <c r="CH65" i="5"/>
  <c r="CI65" i="5"/>
  <c r="CJ65" i="5"/>
  <c r="CK65" i="5"/>
  <c r="CL65" i="5"/>
  <c r="CM65" i="5"/>
  <c r="CN65" i="5"/>
  <c r="CO65" i="5"/>
  <c r="CP65" i="5"/>
  <c r="CQ65" i="5"/>
  <c r="CR65" i="5"/>
  <c r="CS65" i="5"/>
  <c r="CT65" i="5"/>
  <c r="CU65" i="5"/>
  <c r="CV65" i="5"/>
  <c r="CW65" i="5"/>
  <c r="CX65" i="5"/>
  <c r="CY65" i="5"/>
  <c r="CZ65" i="5"/>
  <c r="DA65" i="5"/>
  <c r="DB65" i="5"/>
  <c r="DC65" i="5"/>
  <c r="DD65" i="5"/>
  <c r="DE65" i="5"/>
  <c r="DF65" i="5"/>
  <c r="DG65" i="5"/>
  <c r="DH65" i="5"/>
  <c r="DI65" i="5"/>
  <c r="DJ65" i="5"/>
  <c r="DK65" i="5"/>
  <c r="DL65" i="5"/>
  <c r="DM65" i="5"/>
  <c r="DN65" i="5"/>
  <c r="DO65" i="5"/>
  <c r="DP65" i="5"/>
  <c r="DQ65" i="5"/>
  <c r="DR65" i="5"/>
  <c r="DS65" i="5"/>
  <c r="DT65" i="5"/>
  <c r="DU65" i="5"/>
  <c r="DV65" i="5"/>
  <c r="DW65" i="5"/>
  <c r="DX65" i="5"/>
  <c r="DY65" i="5"/>
  <c r="DZ65" i="5"/>
  <c r="EA65" i="5"/>
  <c r="EB65" i="5"/>
  <c r="EC65" i="5"/>
  <c r="ED65" i="5"/>
  <c r="EE65" i="5"/>
  <c r="EF65" i="5"/>
  <c r="EG65" i="5"/>
  <c r="EH65" i="5"/>
  <c r="EI65" i="5"/>
  <c r="EJ65" i="5"/>
  <c r="EK65" i="5"/>
  <c r="EL65" i="5"/>
  <c r="EM65" i="5"/>
  <c r="EN65" i="5"/>
  <c r="EO65" i="5"/>
  <c r="EP65" i="5"/>
  <c r="EQ65" i="5"/>
  <c r="ER65" i="5"/>
  <c r="ES65" i="5"/>
  <c r="ET65" i="5"/>
  <c r="EU65" i="5"/>
  <c r="EV65" i="5"/>
  <c r="EW65" i="5"/>
  <c r="EX65" i="5"/>
  <c r="EY65" i="5"/>
  <c r="EZ65" i="5"/>
  <c r="FA65" i="5"/>
  <c r="FB65" i="5"/>
  <c r="FC65" i="5"/>
  <c r="FD65" i="5"/>
  <c r="FE65" i="5"/>
  <c r="FF65" i="5"/>
  <c r="FG65" i="5"/>
  <c r="FH65" i="5"/>
  <c r="FI65" i="5"/>
  <c r="FJ65" i="5"/>
  <c r="FK65" i="5"/>
  <c r="FL65" i="5"/>
  <c r="FM65" i="5"/>
  <c r="FN65" i="5"/>
  <c r="FO65" i="5"/>
  <c r="FP65" i="5"/>
  <c r="FQ65" i="5"/>
  <c r="FR65" i="5"/>
  <c r="FS65" i="5"/>
  <c r="FT65" i="5"/>
  <c r="FU65" i="5"/>
  <c r="FV65" i="5"/>
  <c r="FW65" i="5"/>
  <c r="FX65" i="5"/>
  <c r="FY65" i="5"/>
  <c r="FZ65" i="5"/>
  <c r="GA65" i="5"/>
  <c r="GB65" i="5"/>
  <c r="GC65" i="5"/>
  <c r="GD65" i="5"/>
  <c r="GE65" i="5"/>
  <c r="GF65" i="5"/>
  <c r="GG65" i="5"/>
  <c r="GH65" i="5"/>
  <c r="GI65" i="5"/>
  <c r="GJ65" i="5"/>
  <c r="GK65" i="5"/>
  <c r="GL65" i="5"/>
  <c r="GM65" i="5"/>
  <c r="GN65" i="5"/>
  <c r="GO65" i="5"/>
  <c r="GP65" i="5"/>
  <c r="GQ65" i="5"/>
  <c r="GR65" i="5"/>
  <c r="GS65" i="5"/>
  <c r="GT65" i="5"/>
  <c r="GU65" i="5"/>
  <c r="GV65" i="5"/>
  <c r="GW65" i="5"/>
  <c r="GX65" i="5"/>
  <c r="GY65" i="5"/>
  <c r="GZ65" i="5"/>
  <c r="HA65" i="5"/>
  <c r="HB65" i="5"/>
  <c r="HC65" i="5"/>
  <c r="HD65" i="5"/>
  <c r="HE65" i="5"/>
  <c r="HF65" i="5"/>
  <c r="HG65" i="5"/>
  <c r="HH65" i="5"/>
  <c r="HI65" i="5"/>
  <c r="HJ65" i="5"/>
  <c r="HK65" i="5"/>
  <c r="HL65" i="5"/>
  <c r="HM65" i="5"/>
  <c r="HN65" i="5"/>
  <c r="HO65" i="5"/>
  <c r="HP65" i="5"/>
  <c r="HQ65" i="5"/>
  <c r="HR65" i="5"/>
  <c r="HS65" i="5"/>
  <c r="HT65" i="5"/>
  <c r="HU65" i="5"/>
  <c r="HV65" i="5"/>
  <c r="HW65" i="5"/>
  <c r="HX65" i="5"/>
  <c r="HY65" i="5"/>
  <c r="HZ65" i="5"/>
  <c r="IA65" i="5"/>
  <c r="IB65" i="5"/>
  <c r="IC65" i="5"/>
  <c r="ID65" i="5"/>
  <c r="IE65" i="5"/>
  <c r="IF65" i="5"/>
  <c r="IG65" i="5"/>
  <c r="IH65" i="5"/>
  <c r="II65" i="5"/>
  <c r="IJ65" i="5"/>
  <c r="IK65" i="5"/>
  <c r="IL65" i="5"/>
  <c r="IM65" i="5"/>
  <c r="IN65" i="5"/>
  <c r="IO65" i="5"/>
  <c r="IP65" i="5"/>
  <c r="IQ65" i="5"/>
  <c r="IR65" i="5"/>
  <c r="IS65" i="5"/>
  <c r="IT65" i="5"/>
  <c r="IU65" i="5"/>
  <c r="IV65" i="5"/>
  <c r="A64" i="5"/>
  <c r="B64" i="5"/>
  <c r="C64" i="5"/>
  <c r="D64" i="5"/>
  <c r="E64" i="5"/>
  <c r="F64" i="5"/>
  <c r="G64" i="5"/>
  <c r="H64" i="5"/>
  <c r="I64" i="5"/>
  <c r="J64" i="5"/>
  <c r="K64" i="5"/>
  <c r="L64" i="5"/>
  <c r="M64" i="5"/>
  <c r="N64" i="5"/>
  <c r="O64" i="5"/>
  <c r="P64" i="5"/>
  <c r="Q64" i="5"/>
  <c r="R64" i="5"/>
  <c r="S64" i="5"/>
  <c r="T64" i="5"/>
  <c r="U64" i="5"/>
  <c r="V64" i="5"/>
  <c r="W64" i="5"/>
  <c r="X64" i="5"/>
  <c r="Y64" i="5"/>
  <c r="Z64" i="5"/>
  <c r="AA64" i="5"/>
  <c r="AB64" i="5"/>
  <c r="AC64" i="5"/>
  <c r="AD64" i="5"/>
  <c r="AE64" i="5"/>
  <c r="AF64" i="5"/>
  <c r="AG64" i="5"/>
  <c r="AH64" i="5"/>
  <c r="AI64" i="5"/>
  <c r="AJ64" i="5"/>
  <c r="AK64" i="5"/>
  <c r="AL64" i="5"/>
  <c r="AM64" i="5"/>
  <c r="AN64" i="5"/>
  <c r="AO64" i="5"/>
  <c r="AP64" i="5"/>
  <c r="AQ64" i="5"/>
  <c r="AR64" i="5"/>
  <c r="AS64" i="5"/>
  <c r="AT64" i="5"/>
  <c r="AU64" i="5"/>
  <c r="AV64" i="5"/>
  <c r="AW64" i="5"/>
  <c r="AX64" i="5"/>
  <c r="AY64" i="5"/>
  <c r="AZ64" i="5"/>
  <c r="BA64" i="5"/>
  <c r="BB64" i="5"/>
  <c r="BC64" i="5"/>
  <c r="BD64" i="5"/>
  <c r="BE64" i="5"/>
  <c r="BF64" i="5"/>
  <c r="BG64" i="5"/>
  <c r="BH64" i="5"/>
  <c r="BI64" i="5"/>
  <c r="BJ64" i="5"/>
  <c r="BK64" i="5"/>
  <c r="BL64" i="5"/>
  <c r="BM64" i="5"/>
  <c r="BN64" i="5"/>
  <c r="BO64" i="5"/>
  <c r="BP64" i="5"/>
  <c r="BQ64" i="5"/>
  <c r="BR64" i="5"/>
  <c r="BS64" i="5"/>
  <c r="BT64" i="5"/>
  <c r="BU64" i="5"/>
  <c r="BV64" i="5"/>
  <c r="BW64" i="5"/>
  <c r="BX64" i="5"/>
  <c r="BY64" i="5"/>
  <c r="BZ64" i="5"/>
  <c r="CA64" i="5"/>
  <c r="CB64" i="5"/>
  <c r="CC64" i="5"/>
  <c r="CD64" i="5"/>
  <c r="CE64" i="5"/>
  <c r="CF64" i="5"/>
  <c r="CG64" i="5"/>
  <c r="CH64" i="5"/>
  <c r="CI64" i="5"/>
  <c r="CJ64" i="5"/>
  <c r="CK64" i="5"/>
  <c r="CL64" i="5"/>
  <c r="CM64" i="5"/>
  <c r="CN64" i="5"/>
  <c r="CO64" i="5"/>
  <c r="CP64" i="5"/>
  <c r="CQ64" i="5"/>
  <c r="CR64" i="5"/>
  <c r="CS64" i="5"/>
  <c r="CT64" i="5"/>
  <c r="CU64" i="5"/>
  <c r="CV64" i="5"/>
  <c r="CW64" i="5"/>
  <c r="CX64" i="5"/>
  <c r="CY64" i="5"/>
  <c r="CZ64" i="5"/>
  <c r="DA64" i="5"/>
  <c r="DB64" i="5"/>
  <c r="DC64" i="5"/>
  <c r="DD64" i="5"/>
  <c r="DE64" i="5"/>
  <c r="DF64" i="5"/>
  <c r="DG64" i="5"/>
  <c r="DH64" i="5"/>
  <c r="DI64" i="5"/>
  <c r="DJ64" i="5"/>
  <c r="DK64" i="5"/>
  <c r="DL64" i="5"/>
  <c r="DM64" i="5"/>
  <c r="DN64" i="5"/>
  <c r="DO64" i="5"/>
  <c r="DP64" i="5"/>
  <c r="DQ64" i="5"/>
  <c r="DR64" i="5"/>
  <c r="DS64" i="5"/>
  <c r="DT64" i="5"/>
  <c r="DU64" i="5"/>
  <c r="DV64" i="5"/>
  <c r="DW64" i="5"/>
  <c r="DX64" i="5"/>
  <c r="DY64" i="5"/>
  <c r="DZ64" i="5"/>
  <c r="EA64" i="5"/>
  <c r="EB64" i="5"/>
  <c r="EC64" i="5"/>
  <c r="ED64" i="5"/>
  <c r="EE64" i="5"/>
  <c r="EF64" i="5"/>
  <c r="EG64" i="5"/>
  <c r="EH64" i="5"/>
  <c r="EI64" i="5"/>
  <c r="EJ64" i="5"/>
  <c r="EK64" i="5"/>
  <c r="EL64" i="5"/>
  <c r="EM64" i="5"/>
  <c r="EN64" i="5"/>
  <c r="EO64" i="5"/>
  <c r="EP64" i="5"/>
  <c r="EQ64" i="5"/>
  <c r="ER64" i="5"/>
  <c r="ES64" i="5"/>
  <c r="ET64" i="5"/>
  <c r="EU64" i="5"/>
  <c r="EV64" i="5"/>
  <c r="EW64" i="5"/>
  <c r="EX64" i="5"/>
  <c r="EY64" i="5"/>
  <c r="EZ64" i="5"/>
  <c r="FA64" i="5"/>
  <c r="FB64" i="5"/>
  <c r="FC64" i="5"/>
  <c r="FD64" i="5"/>
  <c r="FE64" i="5"/>
  <c r="FF64" i="5"/>
  <c r="FG64" i="5"/>
  <c r="FH64" i="5"/>
  <c r="FI64" i="5"/>
  <c r="FJ64" i="5"/>
  <c r="FK64" i="5"/>
  <c r="FL64" i="5"/>
  <c r="FM64" i="5"/>
  <c r="FN64" i="5"/>
  <c r="FO64" i="5"/>
  <c r="FP64" i="5"/>
  <c r="FQ64" i="5"/>
  <c r="FR64" i="5"/>
  <c r="FS64" i="5"/>
  <c r="FT64" i="5"/>
  <c r="FU64" i="5"/>
  <c r="FV64" i="5"/>
  <c r="FW64" i="5"/>
  <c r="FX64" i="5"/>
  <c r="FY64" i="5"/>
  <c r="FZ64" i="5"/>
  <c r="GA64" i="5"/>
  <c r="GB64" i="5"/>
  <c r="GC64" i="5"/>
  <c r="GD64" i="5"/>
  <c r="GE64" i="5"/>
  <c r="GF64" i="5"/>
  <c r="GG64" i="5"/>
  <c r="GH64" i="5"/>
  <c r="GI64" i="5"/>
  <c r="GJ64" i="5"/>
  <c r="GK64" i="5"/>
  <c r="GL64" i="5"/>
  <c r="GM64" i="5"/>
  <c r="GN64" i="5"/>
  <c r="GO64" i="5"/>
  <c r="GP64" i="5"/>
  <c r="GQ64" i="5"/>
  <c r="GR64" i="5"/>
  <c r="GS64" i="5"/>
  <c r="GT64" i="5"/>
  <c r="GU64" i="5"/>
  <c r="GV64" i="5"/>
  <c r="GW64" i="5"/>
  <c r="GX64" i="5"/>
  <c r="GY64" i="5"/>
  <c r="GZ64" i="5"/>
  <c r="HA64" i="5"/>
  <c r="HB64" i="5"/>
  <c r="HC64" i="5"/>
  <c r="HD64" i="5"/>
  <c r="HE64" i="5"/>
  <c r="HF64" i="5"/>
  <c r="HG64" i="5"/>
  <c r="HH64" i="5"/>
  <c r="HI64" i="5"/>
  <c r="HJ64" i="5"/>
  <c r="HK64" i="5"/>
  <c r="HL64" i="5"/>
  <c r="HM64" i="5"/>
  <c r="HN64" i="5"/>
  <c r="HO64" i="5"/>
  <c r="HP64" i="5"/>
  <c r="HQ64" i="5"/>
  <c r="HR64" i="5"/>
  <c r="HS64" i="5"/>
  <c r="HT64" i="5"/>
  <c r="HU64" i="5"/>
  <c r="HV64" i="5"/>
  <c r="HW64" i="5"/>
  <c r="HX64" i="5"/>
  <c r="HY64" i="5"/>
  <c r="HZ64" i="5"/>
  <c r="IA64" i="5"/>
  <c r="IB64" i="5"/>
  <c r="IC64" i="5"/>
  <c r="ID64" i="5"/>
  <c r="IE64" i="5"/>
  <c r="IF64" i="5"/>
  <c r="IG64" i="5"/>
  <c r="IH64" i="5"/>
  <c r="II64" i="5"/>
  <c r="IJ64" i="5"/>
  <c r="IK64" i="5"/>
  <c r="IL64" i="5"/>
  <c r="IM64" i="5"/>
  <c r="IN64" i="5"/>
  <c r="IO64" i="5"/>
  <c r="IP64" i="5"/>
  <c r="IQ64" i="5"/>
  <c r="IR64" i="5"/>
  <c r="IS64" i="5"/>
  <c r="IT64" i="5"/>
  <c r="IU64" i="5"/>
  <c r="IV64" i="5"/>
  <c r="A63" i="5"/>
  <c r="B63" i="5"/>
  <c r="C63" i="5"/>
  <c r="D63" i="5"/>
  <c r="E63" i="5"/>
  <c r="F63" i="5"/>
  <c r="G63" i="5"/>
  <c r="H63" i="5"/>
  <c r="I63" i="5"/>
  <c r="J63" i="5"/>
  <c r="K63" i="5"/>
  <c r="L63" i="5"/>
  <c r="M63" i="5"/>
  <c r="N63" i="5"/>
  <c r="O63" i="5"/>
  <c r="P63" i="5"/>
  <c r="Q63" i="5"/>
  <c r="R63" i="5"/>
  <c r="S63" i="5"/>
  <c r="T63" i="5"/>
  <c r="U63" i="5"/>
  <c r="V63" i="5"/>
  <c r="W63" i="5"/>
  <c r="X63" i="5"/>
  <c r="Y63" i="5"/>
  <c r="Z63" i="5"/>
  <c r="AA63" i="5"/>
  <c r="AB63" i="5"/>
  <c r="AC63" i="5"/>
  <c r="AD63" i="5"/>
  <c r="AE63" i="5"/>
  <c r="AF63" i="5"/>
  <c r="AG63" i="5"/>
  <c r="AH63" i="5"/>
  <c r="AI63" i="5"/>
  <c r="AJ63" i="5"/>
  <c r="AK63" i="5"/>
  <c r="AL63" i="5"/>
  <c r="AM63" i="5"/>
  <c r="AN63" i="5"/>
  <c r="AO63" i="5"/>
  <c r="AP63" i="5"/>
  <c r="AQ63" i="5"/>
  <c r="AR63" i="5"/>
  <c r="AS63" i="5"/>
  <c r="AT63" i="5"/>
  <c r="AU63" i="5"/>
  <c r="AV63" i="5"/>
  <c r="AW63" i="5"/>
  <c r="AX63" i="5"/>
  <c r="AY63" i="5"/>
  <c r="AZ63" i="5"/>
  <c r="BA63" i="5"/>
  <c r="BB63" i="5"/>
  <c r="BC63" i="5"/>
  <c r="BD63" i="5"/>
  <c r="BE63" i="5"/>
  <c r="BF63" i="5"/>
  <c r="BG63" i="5"/>
  <c r="BH63" i="5"/>
  <c r="BI63" i="5"/>
  <c r="BJ63" i="5"/>
  <c r="BK63" i="5"/>
  <c r="BL63" i="5"/>
  <c r="BM63" i="5"/>
  <c r="BN63" i="5"/>
  <c r="BO63" i="5"/>
  <c r="BP63" i="5"/>
  <c r="BQ63" i="5"/>
  <c r="BR63" i="5"/>
  <c r="BS63" i="5"/>
  <c r="BT63" i="5"/>
  <c r="BU63" i="5"/>
  <c r="BV63" i="5"/>
  <c r="BW63" i="5"/>
  <c r="BX63" i="5"/>
  <c r="BY63" i="5"/>
  <c r="BZ63" i="5"/>
  <c r="CA63" i="5"/>
  <c r="CB63" i="5"/>
  <c r="CC63" i="5"/>
  <c r="CD63" i="5"/>
  <c r="CE63" i="5"/>
  <c r="CF63" i="5"/>
  <c r="CG63" i="5"/>
  <c r="CH63" i="5"/>
  <c r="CI63" i="5"/>
  <c r="CJ63" i="5"/>
  <c r="CK63" i="5"/>
  <c r="CL63" i="5"/>
  <c r="CM63" i="5"/>
  <c r="CN63" i="5"/>
  <c r="CO63" i="5"/>
  <c r="CP63" i="5"/>
  <c r="CQ63" i="5"/>
  <c r="CR63" i="5"/>
  <c r="CS63" i="5"/>
  <c r="CT63" i="5"/>
  <c r="CU63" i="5"/>
  <c r="CV63" i="5"/>
  <c r="CW63" i="5"/>
  <c r="CX63" i="5"/>
  <c r="CY63" i="5"/>
  <c r="CZ63" i="5"/>
  <c r="DA63" i="5"/>
  <c r="DB63" i="5"/>
  <c r="DC63" i="5"/>
  <c r="DD63" i="5"/>
  <c r="DE63" i="5"/>
  <c r="DF63" i="5"/>
  <c r="DG63" i="5"/>
  <c r="DH63" i="5"/>
  <c r="DI63" i="5"/>
  <c r="DJ63" i="5"/>
  <c r="DK63" i="5"/>
  <c r="DL63" i="5"/>
  <c r="DM63" i="5"/>
  <c r="DN63" i="5"/>
  <c r="DO63" i="5"/>
  <c r="DP63" i="5"/>
  <c r="DQ63" i="5"/>
  <c r="DR63" i="5"/>
  <c r="DS63" i="5"/>
  <c r="DT63" i="5"/>
  <c r="DU63" i="5"/>
  <c r="DV63" i="5"/>
  <c r="DW63" i="5"/>
  <c r="DX63" i="5"/>
  <c r="DY63" i="5"/>
  <c r="DZ63" i="5"/>
  <c r="EA63" i="5"/>
  <c r="EB63" i="5"/>
  <c r="EC63" i="5"/>
  <c r="ED63" i="5"/>
  <c r="EE63" i="5"/>
  <c r="EF63" i="5"/>
  <c r="EG63" i="5"/>
  <c r="EH63" i="5"/>
  <c r="EI63" i="5"/>
  <c r="EJ63" i="5"/>
  <c r="EK63" i="5"/>
  <c r="EL63" i="5"/>
  <c r="EM63" i="5"/>
  <c r="EN63" i="5"/>
  <c r="EO63" i="5"/>
  <c r="EP63" i="5"/>
  <c r="EQ63" i="5"/>
  <c r="ER63" i="5"/>
  <c r="ES63" i="5"/>
  <c r="ET63" i="5"/>
  <c r="EU63" i="5"/>
  <c r="EV63" i="5"/>
  <c r="EW63" i="5"/>
  <c r="EX63" i="5"/>
  <c r="EY63" i="5"/>
  <c r="EZ63" i="5"/>
  <c r="FA63" i="5"/>
  <c r="FB63" i="5"/>
  <c r="FC63" i="5"/>
  <c r="FD63" i="5"/>
  <c r="FE63" i="5"/>
  <c r="FF63" i="5"/>
  <c r="FG63" i="5"/>
  <c r="FH63" i="5"/>
  <c r="FI63" i="5"/>
  <c r="FJ63" i="5"/>
  <c r="FK63" i="5"/>
  <c r="FL63" i="5"/>
  <c r="FM63" i="5"/>
  <c r="FN63" i="5"/>
  <c r="FO63" i="5"/>
  <c r="FP63" i="5"/>
  <c r="FQ63" i="5"/>
  <c r="FR63" i="5"/>
  <c r="FS63" i="5"/>
  <c r="FT63" i="5"/>
  <c r="FU63" i="5"/>
  <c r="FV63" i="5"/>
  <c r="FW63" i="5"/>
  <c r="FX63" i="5"/>
  <c r="FY63" i="5"/>
  <c r="FZ63" i="5"/>
  <c r="GA63" i="5"/>
  <c r="GB63" i="5"/>
  <c r="GC63" i="5"/>
  <c r="GD63" i="5"/>
  <c r="GE63" i="5"/>
  <c r="GF63" i="5"/>
  <c r="GG63" i="5"/>
  <c r="GH63" i="5"/>
  <c r="GI63" i="5"/>
  <c r="GJ63" i="5"/>
  <c r="GK63" i="5"/>
  <c r="GL63" i="5"/>
  <c r="GM63" i="5"/>
  <c r="GN63" i="5"/>
  <c r="GO63" i="5"/>
  <c r="GP63" i="5"/>
  <c r="GQ63" i="5"/>
  <c r="GR63" i="5"/>
  <c r="GS63" i="5"/>
  <c r="GT63" i="5"/>
  <c r="GU63" i="5"/>
  <c r="GV63" i="5"/>
  <c r="GW63" i="5"/>
  <c r="GX63" i="5"/>
  <c r="GY63" i="5"/>
  <c r="GZ63" i="5"/>
  <c r="HA63" i="5"/>
  <c r="HB63" i="5"/>
  <c r="HC63" i="5"/>
  <c r="HD63" i="5"/>
  <c r="HE63" i="5"/>
  <c r="HF63" i="5"/>
  <c r="HG63" i="5"/>
  <c r="HH63" i="5"/>
  <c r="HI63" i="5"/>
  <c r="HJ63" i="5"/>
  <c r="HK63" i="5"/>
  <c r="HL63" i="5"/>
  <c r="HM63" i="5"/>
  <c r="HN63" i="5"/>
  <c r="HO63" i="5"/>
  <c r="HP63" i="5"/>
  <c r="HQ63" i="5"/>
  <c r="HR63" i="5"/>
  <c r="HS63" i="5"/>
  <c r="HT63" i="5"/>
  <c r="HU63" i="5"/>
  <c r="HV63" i="5"/>
  <c r="HW63" i="5"/>
  <c r="HX63" i="5"/>
  <c r="HY63" i="5"/>
  <c r="HZ63" i="5"/>
  <c r="IA63" i="5"/>
  <c r="IB63" i="5"/>
  <c r="IC63" i="5"/>
  <c r="ID63" i="5"/>
  <c r="IE63" i="5"/>
  <c r="IF63" i="5"/>
  <c r="IG63" i="5"/>
  <c r="IH63" i="5"/>
  <c r="II63" i="5"/>
  <c r="IJ63" i="5"/>
  <c r="IK63" i="5"/>
  <c r="IL63" i="5"/>
  <c r="IM63" i="5"/>
  <c r="IN63" i="5"/>
  <c r="IO63" i="5"/>
  <c r="IP63" i="5"/>
  <c r="IQ63" i="5"/>
  <c r="IR63" i="5"/>
  <c r="IS63" i="5"/>
  <c r="IT63" i="5"/>
  <c r="IU63" i="5"/>
  <c r="IV63" i="5"/>
  <c r="A62" i="5"/>
  <c r="B62" i="5"/>
  <c r="C62" i="5"/>
  <c r="D62" i="5"/>
  <c r="E62" i="5"/>
  <c r="F62" i="5"/>
  <c r="G62" i="5"/>
  <c r="H62" i="5"/>
  <c r="I62" i="5"/>
  <c r="J62" i="5"/>
  <c r="K62" i="5"/>
  <c r="L62" i="5"/>
  <c r="M62" i="5"/>
  <c r="N62" i="5"/>
  <c r="O62" i="5"/>
  <c r="P62" i="5"/>
  <c r="Q62" i="5"/>
  <c r="R62" i="5"/>
  <c r="S62" i="5"/>
  <c r="T62" i="5"/>
  <c r="U62" i="5"/>
  <c r="V62" i="5"/>
  <c r="W62" i="5"/>
  <c r="X62" i="5"/>
  <c r="Y62" i="5"/>
  <c r="Z62" i="5"/>
  <c r="AA62" i="5"/>
  <c r="AB62" i="5"/>
  <c r="AC62" i="5"/>
  <c r="AD62" i="5"/>
  <c r="AE62" i="5"/>
  <c r="AF62" i="5"/>
  <c r="AG62" i="5"/>
  <c r="AH62" i="5"/>
  <c r="AI62" i="5"/>
  <c r="AJ62" i="5"/>
  <c r="AK62" i="5"/>
  <c r="AL62" i="5"/>
  <c r="AM62" i="5"/>
  <c r="AN62" i="5"/>
  <c r="AO62" i="5"/>
  <c r="AP62" i="5"/>
  <c r="AQ62" i="5"/>
  <c r="AR62" i="5"/>
  <c r="AS62" i="5"/>
  <c r="AT62" i="5"/>
  <c r="AU62" i="5"/>
  <c r="AV62" i="5"/>
  <c r="AW62" i="5"/>
  <c r="AX62" i="5"/>
  <c r="AY62" i="5"/>
  <c r="AZ62" i="5"/>
  <c r="BA62" i="5"/>
  <c r="BB62" i="5"/>
  <c r="BC62" i="5"/>
  <c r="BD62" i="5"/>
  <c r="BE62" i="5"/>
  <c r="BF62" i="5"/>
  <c r="BG62" i="5"/>
  <c r="BH62" i="5"/>
  <c r="BI62" i="5"/>
  <c r="BJ62" i="5"/>
  <c r="BK62" i="5"/>
  <c r="BL62" i="5"/>
  <c r="BM62" i="5"/>
  <c r="BN62" i="5"/>
  <c r="BO62" i="5"/>
  <c r="BP62" i="5"/>
  <c r="BQ62" i="5"/>
  <c r="BR62" i="5"/>
  <c r="BS62" i="5"/>
  <c r="BT62" i="5"/>
  <c r="BU62" i="5"/>
  <c r="BV62" i="5"/>
  <c r="BW62" i="5"/>
  <c r="BX62" i="5"/>
  <c r="BY62" i="5"/>
  <c r="BZ62" i="5"/>
  <c r="CA62" i="5"/>
  <c r="CB62" i="5"/>
  <c r="CC62" i="5"/>
  <c r="CD62" i="5"/>
  <c r="CE62" i="5"/>
  <c r="CF62" i="5"/>
  <c r="CG62" i="5"/>
  <c r="CH62" i="5"/>
  <c r="CI62" i="5"/>
  <c r="CJ62" i="5"/>
  <c r="CK62" i="5"/>
  <c r="CL62" i="5"/>
  <c r="CM62" i="5"/>
  <c r="CN62" i="5"/>
  <c r="CO62" i="5"/>
  <c r="CP62" i="5"/>
  <c r="CQ62" i="5"/>
  <c r="CR62" i="5"/>
  <c r="CS62" i="5"/>
  <c r="CT62" i="5"/>
  <c r="CU62" i="5"/>
  <c r="CV62" i="5"/>
  <c r="CW62" i="5"/>
  <c r="CX62" i="5"/>
  <c r="CY62" i="5"/>
  <c r="CZ62" i="5"/>
  <c r="DA62" i="5"/>
  <c r="DB62" i="5"/>
  <c r="DC62" i="5"/>
  <c r="DD62" i="5"/>
  <c r="DE62" i="5"/>
  <c r="DF62" i="5"/>
  <c r="DG62" i="5"/>
  <c r="DH62" i="5"/>
  <c r="DI62" i="5"/>
  <c r="DJ62" i="5"/>
  <c r="DK62" i="5"/>
  <c r="DL62" i="5"/>
  <c r="DM62" i="5"/>
  <c r="DN62" i="5"/>
  <c r="DO62" i="5"/>
  <c r="DP62" i="5"/>
  <c r="DQ62" i="5"/>
  <c r="DR62" i="5"/>
  <c r="DS62" i="5"/>
  <c r="DT62" i="5"/>
  <c r="DU62" i="5"/>
  <c r="DV62" i="5"/>
  <c r="DW62" i="5"/>
  <c r="DX62" i="5"/>
  <c r="DY62" i="5"/>
  <c r="DZ62" i="5"/>
  <c r="EA62" i="5"/>
  <c r="EB62" i="5"/>
  <c r="EC62" i="5"/>
  <c r="ED62" i="5"/>
  <c r="EE62" i="5"/>
  <c r="EF62" i="5"/>
  <c r="EG62" i="5"/>
  <c r="EH62" i="5"/>
  <c r="EI62" i="5"/>
  <c r="EJ62" i="5"/>
  <c r="EK62" i="5"/>
  <c r="EL62" i="5"/>
  <c r="EM62" i="5"/>
  <c r="EN62" i="5"/>
  <c r="EO62" i="5"/>
  <c r="EP62" i="5"/>
  <c r="EQ62" i="5"/>
  <c r="ER62" i="5"/>
  <c r="ES62" i="5"/>
  <c r="ET62" i="5"/>
  <c r="EU62" i="5"/>
  <c r="EV62" i="5"/>
  <c r="EW62" i="5"/>
  <c r="EX62" i="5"/>
  <c r="EY62" i="5"/>
  <c r="EZ62" i="5"/>
  <c r="FA62" i="5"/>
  <c r="FB62" i="5"/>
  <c r="FC62" i="5"/>
  <c r="FD62" i="5"/>
  <c r="FE62" i="5"/>
  <c r="FF62" i="5"/>
  <c r="FG62" i="5"/>
  <c r="FH62" i="5"/>
  <c r="FI62" i="5"/>
  <c r="FJ62" i="5"/>
  <c r="FK62" i="5"/>
  <c r="FL62" i="5"/>
  <c r="FM62" i="5"/>
  <c r="FN62" i="5"/>
  <c r="FO62" i="5"/>
  <c r="FP62" i="5"/>
  <c r="FQ62" i="5"/>
  <c r="FR62" i="5"/>
  <c r="FS62" i="5"/>
  <c r="FT62" i="5"/>
  <c r="FU62" i="5"/>
  <c r="FV62" i="5"/>
  <c r="FW62" i="5"/>
  <c r="FX62" i="5"/>
  <c r="FY62" i="5"/>
  <c r="FZ62" i="5"/>
  <c r="GA62" i="5"/>
  <c r="GB62" i="5"/>
  <c r="GC62" i="5"/>
  <c r="GD62" i="5"/>
  <c r="GE62" i="5"/>
  <c r="GF62" i="5"/>
  <c r="GG62" i="5"/>
  <c r="GH62" i="5"/>
  <c r="GI62" i="5"/>
  <c r="GJ62" i="5"/>
  <c r="GK62" i="5"/>
  <c r="GL62" i="5"/>
  <c r="GM62" i="5"/>
  <c r="GN62" i="5"/>
  <c r="GO62" i="5"/>
  <c r="GP62" i="5"/>
  <c r="GQ62" i="5"/>
  <c r="GR62" i="5"/>
  <c r="GS62" i="5"/>
  <c r="GT62" i="5"/>
  <c r="GU62" i="5"/>
  <c r="GV62" i="5"/>
  <c r="GW62" i="5"/>
  <c r="GX62" i="5"/>
  <c r="GY62" i="5"/>
  <c r="GZ62" i="5"/>
  <c r="HA62" i="5"/>
  <c r="HB62" i="5"/>
  <c r="HC62" i="5"/>
  <c r="HD62" i="5"/>
  <c r="HE62" i="5"/>
  <c r="HF62" i="5"/>
  <c r="HG62" i="5"/>
  <c r="HH62" i="5"/>
  <c r="HI62" i="5"/>
  <c r="HJ62" i="5"/>
  <c r="HK62" i="5"/>
  <c r="HL62" i="5"/>
  <c r="HM62" i="5"/>
  <c r="HN62" i="5"/>
  <c r="HO62" i="5"/>
  <c r="HP62" i="5"/>
  <c r="HQ62" i="5"/>
  <c r="HR62" i="5"/>
  <c r="HS62" i="5"/>
  <c r="HT62" i="5"/>
  <c r="HU62" i="5"/>
  <c r="HV62" i="5"/>
  <c r="HW62" i="5"/>
  <c r="HX62" i="5"/>
  <c r="HY62" i="5"/>
  <c r="HZ62" i="5"/>
  <c r="IA62" i="5"/>
  <c r="IB62" i="5"/>
  <c r="IC62" i="5"/>
  <c r="ID62" i="5"/>
  <c r="IE62" i="5"/>
  <c r="IF62" i="5"/>
  <c r="IG62" i="5"/>
  <c r="IH62" i="5"/>
  <c r="II62" i="5"/>
  <c r="IJ62" i="5"/>
  <c r="IK62" i="5"/>
  <c r="IL62" i="5"/>
  <c r="IM62" i="5"/>
  <c r="IN62" i="5"/>
  <c r="IO62" i="5"/>
  <c r="IP62" i="5"/>
  <c r="IQ62" i="5"/>
  <c r="IR62" i="5"/>
  <c r="IS62" i="5"/>
  <c r="IT62" i="5"/>
  <c r="IU62" i="5"/>
  <c r="IV62" i="5"/>
  <c r="A61" i="5"/>
  <c r="B61" i="5"/>
  <c r="C61" i="5"/>
  <c r="D61" i="5"/>
  <c r="E61" i="5"/>
  <c r="F61" i="5"/>
  <c r="G61" i="5"/>
  <c r="H61" i="5"/>
  <c r="I61" i="5"/>
  <c r="J61" i="5"/>
  <c r="K61" i="5"/>
  <c r="L61" i="5"/>
  <c r="M61" i="5"/>
  <c r="N61" i="5"/>
  <c r="O61" i="5"/>
  <c r="P61" i="5"/>
  <c r="Q61" i="5"/>
  <c r="R61" i="5"/>
  <c r="S61" i="5"/>
  <c r="T61" i="5"/>
  <c r="U61" i="5"/>
  <c r="V61" i="5"/>
  <c r="W61" i="5"/>
  <c r="X61" i="5"/>
  <c r="Y61" i="5"/>
  <c r="Z61" i="5"/>
  <c r="AA61" i="5"/>
  <c r="AB61" i="5"/>
  <c r="AC61" i="5"/>
  <c r="AD61" i="5"/>
  <c r="AE61" i="5"/>
  <c r="AF61" i="5"/>
  <c r="AG61" i="5"/>
  <c r="AH61" i="5"/>
  <c r="AI61" i="5"/>
  <c r="AJ61" i="5"/>
  <c r="AK61" i="5"/>
  <c r="AL61" i="5"/>
  <c r="AM61" i="5"/>
  <c r="AN61" i="5"/>
  <c r="AO61" i="5"/>
  <c r="AP61" i="5"/>
  <c r="AQ61" i="5"/>
  <c r="AR61" i="5"/>
  <c r="AS61" i="5"/>
  <c r="AT61" i="5"/>
  <c r="AU61" i="5"/>
  <c r="AV61" i="5"/>
  <c r="AW61" i="5"/>
  <c r="AX61" i="5"/>
  <c r="AY61" i="5"/>
  <c r="AZ61" i="5"/>
  <c r="BA61" i="5"/>
  <c r="BB61" i="5"/>
  <c r="BC61" i="5"/>
  <c r="BD61" i="5"/>
  <c r="BE61" i="5"/>
  <c r="BF61" i="5"/>
  <c r="BG61" i="5"/>
  <c r="BH61" i="5"/>
  <c r="BI61" i="5"/>
  <c r="BJ61" i="5"/>
  <c r="BK61" i="5"/>
  <c r="BL61" i="5"/>
  <c r="BM61" i="5"/>
  <c r="BN61" i="5"/>
  <c r="BO61" i="5"/>
  <c r="BP61" i="5"/>
  <c r="BQ61" i="5"/>
  <c r="BR61" i="5"/>
  <c r="BS61" i="5"/>
  <c r="BT61" i="5"/>
  <c r="BU61" i="5"/>
  <c r="BV61" i="5"/>
  <c r="BW61" i="5"/>
  <c r="BX61" i="5"/>
  <c r="BY61" i="5"/>
  <c r="BZ61" i="5"/>
  <c r="CA61" i="5"/>
  <c r="CB61" i="5"/>
  <c r="CC61" i="5"/>
  <c r="CD61" i="5"/>
  <c r="CE61" i="5"/>
  <c r="CF61" i="5"/>
  <c r="CG61" i="5"/>
  <c r="CH61" i="5"/>
  <c r="CI61" i="5"/>
  <c r="CJ61" i="5"/>
  <c r="CK61" i="5"/>
  <c r="CL61" i="5"/>
  <c r="CM61" i="5"/>
  <c r="CN61" i="5"/>
  <c r="CO61" i="5"/>
  <c r="CP61" i="5"/>
  <c r="CQ61" i="5"/>
  <c r="CR61" i="5"/>
  <c r="CS61" i="5"/>
  <c r="CT61" i="5"/>
  <c r="CU61" i="5"/>
  <c r="CV61" i="5"/>
  <c r="CW61" i="5"/>
  <c r="CX61" i="5"/>
  <c r="CY61" i="5"/>
  <c r="CZ61" i="5"/>
  <c r="DA61" i="5"/>
  <c r="DB61" i="5"/>
  <c r="DC61" i="5"/>
  <c r="DD61" i="5"/>
  <c r="DE61" i="5"/>
  <c r="DF61" i="5"/>
  <c r="DG61" i="5"/>
  <c r="DH61" i="5"/>
  <c r="DI61" i="5"/>
  <c r="DJ61" i="5"/>
  <c r="DK61" i="5"/>
  <c r="DL61" i="5"/>
  <c r="DM61" i="5"/>
  <c r="DN61" i="5"/>
  <c r="DO61" i="5"/>
  <c r="DP61" i="5"/>
  <c r="DQ61" i="5"/>
  <c r="DR61" i="5"/>
  <c r="DS61" i="5"/>
  <c r="DT61" i="5"/>
  <c r="DU61" i="5"/>
  <c r="DV61" i="5"/>
  <c r="DW61" i="5"/>
  <c r="DX61" i="5"/>
  <c r="DY61" i="5"/>
  <c r="DZ61" i="5"/>
  <c r="EA61" i="5"/>
  <c r="EB61" i="5"/>
  <c r="EC61" i="5"/>
  <c r="ED61" i="5"/>
  <c r="EE61" i="5"/>
  <c r="EF61" i="5"/>
  <c r="EG61" i="5"/>
  <c r="EH61" i="5"/>
  <c r="EI61" i="5"/>
  <c r="EJ61" i="5"/>
  <c r="EK61" i="5"/>
  <c r="EL61" i="5"/>
  <c r="EM61" i="5"/>
  <c r="EN61" i="5"/>
  <c r="EO61" i="5"/>
  <c r="EP61" i="5"/>
  <c r="EQ61" i="5"/>
  <c r="ER61" i="5"/>
  <c r="ES61" i="5"/>
  <c r="ET61" i="5"/>
  <c r="EU61" i="5"/>
  <c r="EV61" i="5"/>
  <c r="EW61" i="5"/>
  <c r="EX61" i="5"/>
  <c r="EY61" i="5"/>
  <c r="EZ61" i="5"/>
  <c r="FA61" i="5"/>
  <c r="FB61" i="5"/>
  <c r="FC61" i="5"/>
  <c r="FD61" i="5"/>
  <c r="FE61" i="5"/>
  <c r="FF61" i="5"/>
  <c r="FG61" i="5"/>
  <c r="FH61" i="5"/>
  <c r="FI61" i="5"/>
  <c r="FJ61" i="5"/>
  <c r="FK61" i="5"/>
  <c r="FL61" i="5"/>
  <c r="FM61" i="5"/>
  <c r="FN61" i="5"/>
  <c r="FO61" i="5"/>
  <c r="FP61" i="5"/>
  <c r="FQ61" i="5"/>
  <c r="FR61" i="5"/>
  <c r="FS61" i="5"/>
  <c r="FT61" i="5"/>
  <c r="FU61" i="5"/>
  <c r="FV61" i="5"/>
  <c r="FW61" i="5"/>
  <c r="FX61" i="5"/>
  <c r="FY61" i="5"/>
  <c r="FZ61" i="5"/>
  <c r="GA61" i="5"/>
  <c r="GB61" i="5"/>
  <c r="GC61" i="5"/>
  <c r="GD61" i="5"/>
  <c r="GE61" i="5"/>
  <c r="GF61" i="5"/>
  <c r="GG61" i="5"/>
  <c r="GH61" i="5"/>
  <c r="GI61" i="5"/>
  <c r="GJ61" i="5"/>
  <c r="GK61" i="5"/>
  <c r="GL61" i="5"/>
  <c r="GM61" i="5"/>
  <c r="GN61" i="5"/>
  <c r="GO61" i="5"/>
  <c r="GP61" i="5"/>
  <c r="GQ61" i="5"/>
  <c r="GR61" i="5"/>
  <c r="GS61" i="5"/>
  <c r="GT61" i="5"/>
  <c r="GU61" i="5"/>
  <c r="GV61" i="5"/>
  <c r="GW61" i="5"/>
  <c r="GX61" i="5"/>
  <c r="GY61" i="5"/>
  <c r="GZ61" i="5"/>
  <c r="HA61" i="5"/>
  <c r="HB61" i="5"/>
  <c r="HC61" i="5"/>
  <c r="HD61" i="5"/>
  <c r="HE61" i="5"/>
  <c r="HF61" i="5"/>
  <c r="HG61" i="5"/>
  <c r="HH61" i="5"/>
  <c r="HI61" i="5"/>
  <c r="HJ61" i="5"/>
  <c r="HK61" i="5"/>
  <c r="HL61" i="5"/>
  <c r="HM61" i="5"/>
  <c r="HN61" i="5"/>
  <c r="HO61" i="5"/>
  <c r="HP61" i="5"/>
  <c r="HQ61" i="5"/>
  <c r="HR61" i="5"/>
  <c r="HS61" i="5"/>
  <c r="HT61" i="5"/>
  <c r="HU61" i="5"/>
  <c r="HV61" i="5"/>
  <c r="HW61" i="5"/>
  <c r="HX61" i="5"/>
  <c r="HY61" i="5"/>
  <c r="HZ61" i="5"/>
  <c r="IA61" i="5"/>
  <c r="IB61" i="5"/>
  <c r="IC61" i="5"/>
  <c r="ID61" i="5"/>
  <c r="IE61" i="5"/>
  <c r="IF61" i="5"/>
  <c r="IG61" i="5"/>
  <c r="IH61" i="5"/>
  <c r="II61" i="5"/>
  <c r="IJ61" i="5"/>
  <c r="IK61" i="5"/>
  <c r="IL61" i="5"/>
  <c r="IM61" i="5"/>
  <c r="IN61" i="5"/>
  <c r="IO61" i="5"/>
  <c r="IP61" i="5"/>
  <c r="IQ61" i="5"/>
  <c r="IR61" i="5"/>
  <c r="IS61" i="5"/>
  <c r="IT61" i="5"/>
  <c r="IU61" i="5"/>
  <c r="IV61" i="5"/>
  <c r="A60" i="5"/>
  <c r="B60" i="5"/>
  <c r="C60" i="5"/>
  <c r="D60" i="5"/>
  <c r="E60" i="5"/>
  <c r="F60" i="5"/>
  <c r="G60" i="5"/>
  <c r="H60" i="5"/>
  <c r="I60" i="5"/>
  <c r="J60" i="5"/>
  <c r="K60" i="5"/>
  <c r="L60" i="5"/>
  <c r="M60" i="5"/>
  <c r="N60" i="5"/>
  <c r="O60" i="5"/>
  <c r="P60" i="5"/>
  <c r="Q60" i="5"/>
  <c r="R60" i="5"/>
  <c r="S60" i="5"/>
  <c r="T60" i="5"/>
  <c r="U60" i="5"/>
  <c r="V60" i="5"/>
  <c r="W60" i="5"/>
  <c r="X60" i="5"/>
  <c r="Y60" i="5"/>
  <c r="Z60" i="5"/>
  <c r="AA60" i="5"/>
  <c r="AB60" i="5"/>
  <c r="AC60" i="5"/>
  <c r="AD60" i="5"/>
  <c r="AE60" i="5"/>
  <c r="AF60" i="5"/>
  <c r="AG60" i="5"/>
  <c r="AH60" i="5"/>
  <c r="AI60" i="5"/>
  <c r="AJ60" i="5"/>
  <c r="AK60" i="5"/>
  <c r="AL60" i="5"/>
  <c r="AM60" i="5"/>
  <c r="AN60" i="5"/>
  <c r="AO60" i="5"/>
  <c r="AP60" i="5"/>
  <c r="AQ60" i="5"/>
  <c r="AR60" i="5"/>
  <c r="AS60" i="5"/>
  <c r="AT60" i="5"/>
  <c r="AU60" i="5"/>
  <c r="AV60" i="5"/>
  <c r="AW60" i="5"/>
  <c r="AX60" i="5"/>
  <c r="AY60" i="5"/>
  <c r="AZ60" i="5"/>
  <c r="BA60" i="5"/>
  <c r="BB60" i="5"/>
  <c r="BC60" i="5"/>
  <c r="BD60" i="5"/>
  <c r="BE60" i="5"/>
  <c r="BF60" i="5"/>
  <c r="BG60" i="5"/>
  <c r="BH60" i="5"/>
  <c r="BI60" i="5"/>
  <c r="BJ60" i="5"/>
  <c r="BK60" i="5"/>
  <c r="BL60" i="5"/>
  <c r="BM60" i="5"/>
  <c r="BN60" i="5"/>
  <c r="BO60" i="5"/>
  <c r="BP60" i="5"/>
  <c r="BQ60" i="5"/>
  <c r="BR60" i="5"/>
  <c r="BS60" i="5"/>
  <c r="BT60" i="5"/>
  <c r="BU60" i="5"/>
  <c r="BV60" i="5"/>
  <c r="BW60" i="5"/>
  <c r="BX60" i="5"/>
  <c r="BY60" i="5"/>
  <c r="BZ60" i="5"/>
  <c r="CA60" i="5"/>
  <c r="CB60" i="5"/>
  <c r="CC60" i="5"/>
  <c r="CD60" i="5"/>
  <c r="CE60" i="5"/>
  <c r="CF60" i="5"/>
  <c r="CG60" i="5"/>
  <c r="CH60" i="5"/>
  <c r="CI60" i="5"/>
  <c r="CJ60" i="5"/>
  <c r="CK60" i="5"/>
  <c r="CL60" i="5"/>
  <c r="CM60" i="5"/>
  <c r="CN60" i="5"/>
  <c r="CO60" i="5"/>
  <c r="CP60" i="5"/>
  <c r="CQ60" i="5"/>
  <c r="CR60" i="5"/>
  <c r="CS60" i="5"/>
  <c r="CT60" i="5"/>
  <c r="CU60" i="5"/>
  <c r="CV60" i="5"/>
  <c r="CW60" i="5"/>
  <c r="CX60" i="5"/>
  <c r="CY60" i="5"/>
  <c r="CZ60" i="5"/>
  <c r="DA60" i="5"/>
  <c r="DB60" i="5"/>
  <c r="DC60" i="5"/>
  <c r="DD60" i="5"/>
  <c r="DE60" i="5"/>
  <c r="DF60" i="5"/>
  <c r="DG60" i="5"/>
  <c r="DH60" i="5"/>
  <c r="DI60" i="5"/>
  <c r="DJ60" i="5"/>
  <c r="DK60" i="5"/>
  <c r="DL60" i="5"/>
  <c r="DM60" i="5"/>
  <c r="DN60" i="5"/>
  <c r="DO60" i="5"/>
  <c r="DP60" i="5"/>
  <c r="DQ60" i="5"/>
  <c r="DR60" i="5"/>
  <c r="DS60" i="5"/>
  <c r="DT60" i="5"/>
  <c r="DU60" i="5"/>
  <c r="DV60" i="5"/>
  <c r="DW60" i="5"/>
  <c r="DX60" i="5"/>
  <c r="DY60" i="5"/>
  <c r="DZ60" i="5"/>
  <c r="EA60" i="5"/>
  <c r="EB60" i="5"/>
  <c r="EC60" i="5"/>
  <c r="ED60" i="5"/>
  <c r="EE60" i="5"/>
  <c r="EF60" i="5"/>
  <c r="EG60" i="5"/>
  <c r="EH60" i="5"/>
  <c r="EI60" i="5"/>
  <c r="EJ60" i="5"/>
  <c r="EK60" i="5"/>
  <c r="EL60" i="5"/>
  <c r="EM60" i="5"/>
  <c r="EN60" i="5"/>
  <c r="EO60" i="5"/>
  <c r="EP60" i="5"/>
  <c r="EQ60" i="5"/>
  <c r="ER60" i="5"/>
  <c r="ES60" i="5"/>
  <c r="ET60" i="5"/>
  <c r="EU60" i="5"/>
  <c r="EV60" i="5"/>
  <c r="EW60" i="5"/>
  <c r="EX60" i="5"/>
  <c r="EY60" i="5"/>
  <c r="EZ60" i="5"/>
  <c r="FA60" i="5"/>
  <c r="FB60" i="5"/>
  <c r="FC60" i="5"/>
  <c r="FD60" i="5"/>
  <c r="FE60" i="5"/>
  <c r="FF60" i="5"/>
  <c r="FG60" i="5"/>
  <c r="FH60" i="5"/>
  <c r="FI60" i="5"/>
  <c r="FJ60" i="5"/>
  <c r="FK60" i="5"/>
  <c r="FL60" i="5"/>
  <c r="FM60" i="5"/>
  <c r="FN60" i="5"/>
  <c r="FO60" i="5"/>
  <c r="FP60" i="5"/>
  <c r="FQ60" i="5"/>
  <c r="FR60" i="5"/>
  <c r="FS60" i="5"/>
  <c r="FT60" i="5"/>
  <c r="FU60" i="5"/>
  <c r="FV60" i="5"/>
  <c r="FW60" i="5"/>
  <c r="FX60" i="5"/>
  <c r="FY60" i="5"/>
  <c r="FZ60" i="5"/>
  <c r="GA60" i="5"/>
  <c r="GB60" i="5"/>
  <c r="GC60" i="5"/>
  <c r="GD60" i="5"/>
  <c r="GE60" i="5"/>
  <c r="GF60" i="5"/>
  <c r="GG60" i="5"/>
  <c r="GH60" i="5"/>
  <c r="GI60" i="5"/>
  <c r="GJ60" i="5"/>
  <c r="GK60" i="5"/>
  <c r="GL60" i="5"/>
  <c r="GM60" i="5"/>
  <c r="GN60" i="5"/>
  <c r="GO60" i="5"/>
  <c r="GP60" i="5"/>
  <c r="GQ60" i="5"/>
  <c r="GR60" i="5"/>
  <c r="GS60" i="5"/>
  <c r="GT60" i="5"/>
  <c r="GU60" i="5"/>
  <c r="GV60" i="5"/>
  <c r="GW60" i="5"/>
  <c r="GX60" i="5"/>
  <c r="GY60" i="5"/>
  <c r="GZ60" i="5"/>
  <c r="HA60" i="5"/>
  <c r="HB60" i="5"/>
  <c r="HC60" i="5"/>
  <c r="HD60" i="5"/>
  <c r="HE60" i="5"/>
  <c r="HF60" i="5"/>
  <c r="HG60" i="5"/>
  <c r="HH60" i="5"/>
  <c r="HI60" i="5"/>
  <c r="HJ60" i="5"/>
  <c r="HK60" i="5"/>
  <c r="HL60" i="5"/>
  <c r="HM60" i="5"/>
  <c r="HN60" i="5"/>
  <c r="HO60" i="5"/>
  <c r="HP60" i="5"/>
  <c r="HQ60" i="5"/>
  <c r="HR60" i="5"/>
  <c r="HS60" i="5"/>
  <c r="HT60" i="5"/>
  <c r="HU60" i="5"/>
  <c r="HV60" i="5"/>
  <c r="HW60" i="5"/>
  <c r="HX60" i="5"/>
  <c r="HY60" i="5"/>
  <c r="HZ60" i="5"/>
  <c r="IA60" i="5"/>
  <c r="IB60" i="5"/>
  <c r="IC60" i="5"/>
  <c r="ID60" i="5"/>
  <c r="IE60" i="5"/>
  <c r="IF60" i="5"/>
  <c r="IG60" i="5"/>
  <c r="IH60" i="5"/>
  <c r="II60" i="5"/>
  <c r="IJ60" i="5"/>
  <c r="IK60" i="5"/>
  <c r="IL60" i="5"/>
  <c r="IM60" i="5"/>
  <c r="IN60" i="5"/>
  <c r="IO60" i="5"/>
  <c r="IP60" i="5"/>
  <c r="IQ60" i="5"/>
  <c r="IR60" i="5"/>
  <c r="IS60" i="5"/>
  <c r="IT60" i="5"/>
  <c r="IU60" i="5"/>
  <c r="IV60" i="5"/>
  <c r="A59" i="5"/>
  <c r="B59" i="5"/>
  <c r="C59" i="5"/>
  <c r="D59" i="5"/>
  <c r="E59" i="5"/>
  <c r="F59" i="5"/>
  <c r="G59" i="5"/>
  <c r="H59" i="5"/>
  <c r="I59" i="5"/>
  <c r="J59" i="5"/>
  <c r="K59" i="5"/>
  <c r="L59" i="5"/>
  <c r="M59" i="5"/>
  <c r="N59" i="5"/>
  <c r="O59" i="5"/>
  <c r="P59" i="5"/>
  <c r="Q59" i="5"/>
  <c r="R59" i="5"/>
  <c r="S59" i="5"/>
  <c r="T59" i="5"/>
  <c r="U59" i="5"/>
  <c r="V59" i="5"/>
  <c r="W59" i="5"/>
  <c r="X59" i="5"/>
  <c r="Y59" i="5"/>
  <c r="Z59" i="5"/>
  <c r="AA59" i="5"/>
  <c r="AB59" i="5"/>
  <c r="AC59" i="5"/>
  <c r="AD59" i="5"/>
  <c r="AE59" i="5"/>
  <c r="AF59" i="5"/>
  <c r="AG59" i="5"/>
  <c r="AH59" i="5"/>
  <c r="AI59" i="5"/>
  <c r="AJ59" i="5"/>
  <c r="AK59" i="5"/>
  <c r="AL59" i="5"/>
  <c r="AM59" i="5"/>
  <c r="AN59" i="5"/>
  <c r="AO59" i="5"/>
  <c r="AP59" i="5"/>
  <c r="AQ59" i="5"/>
  <c r="AR59" i="5"/>
  <c r="AS59" i="5"/>
  <c r="AT59" i="5"/>
  <c r="AU59" i="5"/>
  <c r="AV59" i="5"/>
  <c r="AW59" i="5"/>
  <c r="AX59" i="5"/>
  <c r="AY59" i="5"/>
  <c r="AZ59" i="5"/>
  <c r="BA59" i="5"/>
  <c r="BB59" i="5"/>
  <c r="BC59" i="5"/>
  <c r="BD59" i="5"/>
  <c r="BE59" i="5"/>
  <c r="BF59" i="5"/>
  <c r="BG59" i="5"/>
  <c r="BH59" i="5"/>
  <c r="BI59" i="5"/>
  <c r="BJ59" i="5"/>
  <c r="BK59" i="5"/>
  <c r="BL59" i="5"/>
  <c r="BM59" i="5"/>
  <c r="BN59" i="5"/>
  <c r="BO59" i="5"/>
  <c r="BP59" i="5"/>
  <c r="BQ59" i="5"/>
  <c r="BR59" i="5"/>
  <c r="BS59" i="5"/>
  <c r="BT59" i="5"/>
  <c r="BU59" i="5"/>
  <c r="BV59" i="5"/>
  <c r="BW59" i="5"/>
  <c r="BX59" i="5"/>
  <c r="BY59" i="5"/>
  <c r="BZ59" i="5"/>
  <c r="CA59" i="5"/>
  <c r="CB59" i="5"/>
  <c r="CC59" i="5"/>
  <c r="CD59" i="5"/>
  <c r="CE59" i="5"/>
  <c r="CF59" i="5"/>
  <c r="CG59" i="5"/>
  <c r="CH59" i="5"/>
  <c r="CI59" i="5"/>
  <c r="CJ59" i="5"/>
  <c r="CK59" i="5"/>
  <c r="CL59" i="5"/>
  <c r="CM59" i="5"/>
  <c r="CN59" i="5"/>
  <c r="CO59" i="5"/>
  <c r="CP59" i="5"/>
  <c r="CQ59" i="5"/>
  <c r="CR59" i="5"/>
  <c r="CS59" i="5"/>
  <c r="CT59" i="5"/>
  <c r="CU59" i="5"/>
  <c r="CV59" i="5"/>
  <c r="CW59" i="5"/>
  <c r="CX59" i="5"/>
  <c r="CY59" i="5"/>
  <c r="CZ59" i="5"/>
  <c r="DA59" i="5"/>
  <c r="DB59" i="5"/>
  <c r="DC59" i="5"/>
  <c r="DD59" i="5"/>
  <c r="DE59" i="5"/>
  <c r="DF59" i="5"/>
  <c r="DG59" i="5"/>
  <c r="DH59" i="5"/>
  <c r="DI59" i="5"/>
  <c r="DJ59" i="5"/>
  <c r="DK59" i="5"/>
  <c r="DL59" i="5"/>
  <c r="DM59" i="5"/>
  <c r="DN59" i="5"/>
  <c r="DO59" i="5"/>
  <c r="DP59" i="5"/>
  <c r="DQ59" i="5"/>
  <c r="DR59" i="5"/>
  <c r="DS59" i="5"/>
  <c r="DT59" i="5"/>
  <c r="DU59" i="5"/>
  <c r="DV59" i="5"/>
  <c r="DW59" i="5"/>
  <c r="DX59" i="5"/>
  <c r="DY59" i="5"/>
  <c r="DZ59" i="5"/>
  <c r="EA59" i="5"/>
  <c r="EB59" i="5"/>
  <c r="EC59" i="5"/>
  <c r="ED59" i="5"/>
  <c r="EE59" i="5"/>
  <c r="EF59" i="5"/>
  <c r="EG59" i="5"/>
  <c r="EH59" i="5"/>
  <c r="EI59" i="5"/>
  <c r="EJ59" i="5"/>
  <c r="EK59" i="5"/>
  <c r="EL59" i="5"/>
  <c r="EM59" i="5"/>
  <c r="EN59" i="5"/>
  <c r="EO59" i="5"/>
  <c r="EP59" i="5"/>
  <c r="EQ59" i="5"/>
  <c r="ER59" i="5"/>
  <c r="ES59" i="5"/>
  <c r="ET59" i="5"/>
  <c r="EU59" i="5"/>
  <c r="EV59" i="5"/>
  <c r="EW59" i="5"/>
  <c r="EX59" i="5"/>
  <c r="EY59" i="5"/>
  <c r="EZ59" i="5"/>
  <c r="FA59" i="5"/>
  <c r="FB59" i="5"/>
  <c r="FC59" i="5"/>
  <c r="FD59" i="5"/>
  <c r="FE59" i="5"/>
  <c r="FF59" i="5"/>
  <c r="FG59" i="5"/>
  <c r="FH59" i="5"/>
  <c r="FI59" i="5"/>
  <c r="FJ59" i="5"/>
  <c r="FK59" i="5"/>
  <c r="FL59" i="5"/>
  <c r="FM59" i="5"/>
  <c r="FN59" i="5"/>
  <c r="FO59" i="5"/>
  <c r="FP59" i="5"/>
  <c r="FQ59" i="5"/>
  <c r="FR59" i="5"/>
  <c r="FS59" i="5"/>
  <c r="FT59" i="5"/>
  <c r="FU59" i="5"/>
  <c r="FV59" i="5"/>
  <c r="FW59" i="5"/>
  <c r="FX59" i="5"/>
  <c r="FY59" i="5"/>
  <c r="FZ59" i="5"/>
  <c r="GA59" i="5"/>
  <c r="GB59" i="5"/>
  <c r="GC59" i="5"/>
  <c r="GD59" i="5"/>
  <c r="GE59" i="5"/>
  <c r="GF59" i="5"/>
  <c r="GG59" i="5"/>
  <c r="GH59" i="5"/>
  <c r="GI59" i="5"/>
  <c r="GJ59" i="5"/>
  <c r="GK59" i="5"/>
  <c r="GL59" i="5"/>
  <c r="GM59" i="5"/>
  <c r="GN59" i="5"/>
  <c r="GO59" i="5"/>
  <c r="GP59" i="5"/>
  <c r="GQ59" i="5"/>
  <c r="GR59" i="5"/>
  <c r="GS59" i="5"/>
  <c r="GT59" i="5"/>
  <c r="GU59" i="5"/>
  <c r="GV59" i="5"/>
  <c r="GW59" i="5"/>
  <c r="GX59" i="5"/>
  <c r="GY59" i="5"/>
  <c r="GZ59" i="5"/>
  <c r="HA59" i="5"/>
  <c r="HB59" i="5"/>
  <c r="HC59" i="5"/>
  <c r="HD59" i="5"/>
  <c r="HE59" i="5"/>
  <c r="HF59" i="5"/>
  <c r="HG59" i="5"/>
  <c r="HH59" i="5"/>
  <c r="HI59" i="5"/>
  <c r="HJ59" i="5"/>
  <c r="HK59" i="5"/>
  <c r="HL59" i="5"/>
  <c r="HM59" i="5"/>
  <c r="HN59" i="5"/>
  <c r="HO59" i="5"/>
  <c r="HP59" i="5"/>
  <c r="HQ59" i="5"/>
  <c r="HR59" i="5"/>
  <c r="HS59" i="5"/>
  <c r="HT59" i="5"/>
  <c r="HU59" i="5"/>
  <c r="HV59" i="5"/>
  <c r="HW59" i="5"/>
  <c r="HX59" i="5"/>
  <c r="HY59" i="5"/>
  <c r="HZ59" i="5"/>
  <c r="IA59" i="5"/>
  <c r="IB59" i="5"/>
  <c r="IC59" i="5"/>
  <c r="ID59" i="5"/>
  <c r="IE59" i="5"/>
  <c r="IF59" i="5"/>
  <c r="IG59" i="5"/>
  <c r="IH59" i="5"/>
  <c r="II59" i="5"/>
  <c r="IJ59" i="5"/>
  <c r="IK59" i="5"/>
  <c r="IL59" i="5"/>
  <c r="IM59" i="5"/>
  <c r="IN59" i="5"/>
  <c r="IO59" i="5"/>
  <c r="IP59" i="5"/>
  <c r="IQ59" i="5"/>
  <c r="IR59" i="5"/>
  <c r="IS59" i="5"/>
  <c r="IT59" i="5"/>
  <c r="IU59" i="5"/>
  <c r="IV59" i="5"/>
  <c r="A58" i="5"/>
  <c r="B58" i="5"/>
  <c r="C58" i="5"/>
  <c r="D58" i="5"/>
  <c r="E58" i="5"/>
  <c r="F58" i="5"/>
  <c r="G58" i="5"/>
  <c r="H58" i="5"/>
  <c r="I58" i="5"/>
  <c r="J58" i="5"/>
  <c r="K58" i="5"/>
  <c r="L58" i="5"/>
  <c r="M58" i="5"/>
  <c r="N58" i="5"/>
  <c r="O58" i="5"/>
  <c r="P58" i="5"/>
  <c r="Q58" i="5"/>
  <c r="R58" i="5"/>
  <c r="S58" i="5"/>
  <c r="T58" i="5"/>
  <c r="U58" i="5"/>
  <c r="V58" i="5"/>
  <c r="W58" i="5"/>
  <c r="X58" i="5"/>
  <c r="Y58" i="5"/>
  <c r="Z58" i="5"/>
  <c r="AA58" i="5"/>
  <c r="AB58" i="5"/>
  <c r="AC58" i="5"/>
  <c r="AD58" i="5"/>
  <c r="AE58" i="5"/>
  <c r="AF58" i="5"/>
  <c r="AG58" i="5"/>
  <c r="AH58" i="5"/>
  <c r="AI58" i="5"/>
  <c r="AJ58" i="5"/>
  <c r="AK58" i="5"/>
  <c r="AL58" i="5"/>
  <c r="AM58" i="5"/>
  <c r="AN58" i="5"/>
  <c r="AO58" i="5"/>
  <c r="AP58" i="5"/>
  <c r="AQ58" i="5"/>
  <c r="AR58" i="5"/>
  <c r="AS58" i="5"/>
  <c r="AT58" i="5"/>
  <c r="AU58" i="5"/>
  <c r="AV58" i="5"/>
  <c r="AW58" i="5"/>
  <c r="AX58" i="5"/>
  <c r="AY58" i="5"/>
  <c r="AZ58" i="5"/>
  <c r="BA58" i="5"/>
  <c r="BB58" i="5"/>
  <c r="BC58" i="5"/>
  <c r="BD58" i="5"/>
  <c r="BE58" i="5"/>
  <c r="BF58" i="5"/>
  <c r="BG58" i="5"/>
  <c r="BH58" i="5"/>
  <c r="BI58" i="5"/>
  <c r="BJ58" i="5"/>
  <c r="BK58" i="5"/>
  <c r="BL58" i="5"/>
  <c r="BM58" i="5"/>
  <c r="BN58" i="5"/>
  <c r="BO58" i="5"/>
  <c r="BP58" i="5"/>
  <c r="BQ58" i="5"/>
  <c r="BR58" i="5"/>
  <c r="BS58" i="5"/>
  <c r="BT58" i="5"/>
  <c r="BU58" i="5"/>
  <c r="BV58" i="5"/>
  <c r="BW58" i="5"/>
  <c r="BX58" i="5"/>
  <c r="BY58" i="5"/>
  <c r="BZ58" i="5"/>
  <c r="CA58" i="5"/>
  <c r="CB58" i="5"/>
  <c r="CC58" i="5"/>
  <c r="CD58" i="5"/>
  <c r="CE58" i="5"/>
  <c r="CF58" i="5"/>
  <c r="CG58" i="5"/>
  <c r="CH58" i="5"/>
  <c r="CI58" i="5"/>
  <c r="CJ58" i="5"/>
  <c r="CK58" i="5"/>
  <c r="CL58" i="5"/>
  <c r="CM58" i="5"/>
  <c r="CN58" i="5"/>
  <c r="CO58" i="5"/>
  <c r="CP58" i="5"/>
  <c r="CQ58" i="5"/>
  <c r="CR58" i="5"/>
  <c r="CS58" i="5"/>
  <c r="CT58" i="5"/>
  <c r="CU58" i="5"/>
  <c r="CV58" i="5"/>
  <c r="CW58" i="5"/>
  <c r="CX58" i="5"/>
  <c r="CY58" i="5"/>
  <c r="CZ58" i="5"/>
  <c r="DA58" i="5"/>
  <c r="DB58" i="5"/>
  <c r="DC58" i="5"/>
  <c r="DD58" i="5"/>
  <c r="DE58" i="5"/>
  <c r="DF58" i="5"/>
  <c r="DG58" i="5"/>
  <c r="DH58" i="5"/>
  <c r="DI58" i="5"/>
  <c r="DJ58" i="5"/>
  <c r="DK58" i="5"/>
  <c r="DL58" i="5"/>
  <c r="DM58" i="5"/>
  <c r="DN58" i="5"/>
  <c r="DO58" i="5"/>
  <c r="DP58" i="5"/>
  <c r="DQ58" i="5"/>
  <c r="DR58" i="5"/>
  <c r="DS58" i="5"/>
  <c r="DT58" i="5"/>
  <c r="DU58" i="5"/>
  <c r="DV58" i="5"/>
  <c r="DW58" i="5"/>
  <c r="DX58" i="5"/>
  <c r="DY58" i="5"/>
  <c r="DZ58" i="5"/>
  <c r="EA58" i="5"/>
  <c r="EB58" i="5"/>
  <c r="EC58" i="5"/>
  <c r="ED58" i="5"/>
  <c r="EE58" i="5"/>
  <c r="EF58" i="5"/>
  <c r="EG58" i="5"/>
  <c r="EH58" i="5"/>
  <c r="EI58" i="5"/>
  <c r="EJ58" i="5"/>
  <c r="EK58" i="5"/>
  <c r="EL58" i="5"/>
  <c r="EM58" i="5"/>
  <c r="EN58" i="5"/>
  <c r="EO58" i="5"/>
  <c r="EP58" i="5"/>
  <c r="EQ58" i="5"/>
  <c r="ER58" i="5"/>
  <c r="ES58" i="5"/>
  <c r="ET58" i="5"/>
  <c r="EU58" i="5"/>
  <c r="EV58" i="5"/>
  <c r="EW58" i="5"/>
  <c r="EX58" i="5"/>
  <c r="EY58" i="5"/>
  <c r="EZ58" i="5"/>
  <c r="FA58" i="5"/>
  <c r="FB58" i="5"/>
  <c r="FC58" i="5"/>
  <c r="FD58" i="5"/>
  <c r="FE58" i="5"/>
  <c r="FF58" i="5"/>
  <c r="FG58" i="5"/>
  <c r="FH58" i="5"/>
  <c r="FI58" i="5"/>
  <c r="FJ58" i="5"/>
  <c r="FK58" i="5"/>
  <c r="FL58" i="5"/>
  <c r="FM58" i="5"/>
  <c r="FN58" i="5"/>
  <c r="FO58" i="5"/>
  <c r="FP58" i="5"/>
  <c r="FQ58" i="5"/>
  <c r="FR58" i="5"/>
  <c r="FS58" i="5"/>
  <c r="FT58" i="5"/>
  <c r="FU58" i="5"/>
  <c r="FV58" i="5"/>
  <c r="FW58" i="5"/>
  <c r="FX58" i="5"/>
  <c r="FY58" i="5"/>
  <c r="FZ58" i="5"/>
  <c r="GA58" i="5"/>
  <c r="GB58" i="5"/>
  <c r="GC58" i="5"/>
  <c r="GD58" i="5"/>
  <c r="GE58" i="5"/>
  <c r="GF58" i="5"/>
  <c r="GG58" i="5"/>
  <c r="GH58" i="5"/>
  <c r="GI58" i="5"/>
  <c r="GJ58" i="5"/>
  <c r="GK58" i="5"/>
  <c r="GL58" i="5"/>
  <c r="GM58" i="5"/>
  <c r="GN58" i="5"/>
  <c r="GO58" i="5"/>
  <c r="GP58" i="5"/>
  <c r="GQ58" i="5"/>
  <c r="GR58" i="5"/>
  <c r="GS58" i="5"/>
  <c r="GT58" i="5"/>
  <c r="GU58" i="5"/>
  <c r="GV58" i="5"/>
  <c r="GW58" i="5"/>
  <c r="GX58" i="5"/>
  <c r="GY58" i="5"/>
  <c r="GZ58" i="5"/>
  <c r="HA58" i="5"/>
  <c r="HB58" i="5"/>
  <c r="HC58" i="5"/>
  <c r="HD58" i="5"/>
  <c r="HE58" i="5"/>
  <c r="HF58" i="5"/>
  <c r="HG58" i="5"/>
  <c r="HH58" i="5"/>
  <c r="HI58" i="5"/>
  <c r="HJ58" i="5"/>
  <c r="HK58" i="5"/>
  <c r="HL58" i="5"/>
  <c r="HM58" i="5"/>
  <c r="HN58" i="5"/>
  <c r="HO58" i="5"/>
  <c r="HP58" i="5"/>
  <c r="HQ58" i="5"/>
  <c r="HR58" i="5"/>
  <c r="HS58" i="5"/>
  <c r="HT58" i="5"/>
  <c r="HU58" i="5"/>
  <c r="HV58" i="5"/>
  <c r="HW58" i="5"/>
  <c r="HX58" i="5"/>
  <c r="HY58" i="5"/>
  <c r="HZ58" i="5"/>
  <c r="IA58" i="5"/>
  <c r="IB58" i="5"/>
  <c r="IC58" i="5"/>
  <c r="ID58" i="5"/>
  <c r="IE58" i="5"/>
  <c r="IF58" i="5"/>
  <c r="IG58" i="5"/>
  <c r="IH58" i="5"/>
  <c r="II58" i="5"/>
  <c r="IJ58" i="5"/>
  <c r="IK58" i="5"/>
  <c r="IL58" i="5"/>
  <c r="IM58" i="5"/>
  <c r="IN58" i="5"/>
  <c r="IO58" i="5"/>
  <c r="IP58" i="5"/>
  <c r="IQ58" i="5"/>
  <c r="IR58" i="5"/>
  <c r="IS58" i="5"/>
  <c r="IT58" i="5"/>
  <c r="IU58" i="5"/>
  <c r="IV58" i="5"/>
  <c r="A57" i="5"/>
  <c r="B57" i="5"/>
  <c r="C57" i="5"/>
  <c r="D57" i="5"/>
  <c r="E57" i="5"/>
  <c r="F57" i="5"/>
  <c r="G57" i="5"/>
  <c r="H57" i="5"/>
  <c r="I57" i="5"/>
  <c r="J57" i="5"/>
  <c r="K57" i="5"/>
  <c r="L57" i="5"/>
  <c r="M57" i="5"/>
  <c r="N57" i="5"/>
  <c r="O57" i="5"/>
  <c r="P57" i="5"/>
  <c r="Q57" i="5"/>
  <c r="R57" i="5"/>
  <c r="S57" i="5"/>
  <c r="T57" i="5"/>
  <c r="U57" i="5"/>
  <c r="V57" i="5"/>
  <c r="W57" i="5"/>
  <c r="X57" i="5"/>
  <c r="Y57" i="5"/>
  <c r="Z57" i="5"/>
  <c r="AA57" i="5"/>
  <c r="AB57" i="5"/>
  <c r="AC57" i="5"/>
  <c r="AD57" i="5"/>
  <c r="AE57" i="5"/>
  <c r="AF57" i="5"/>
  <c r="AG57" i="5"/>
  <c r="AH57" i="5"/>
  <c r="AI57" i="5"/>
  <c r="AJ57" i="5"/>
  <c r="AK57" i="5"/>
  <c r="AL57" i="5"/>
  <c r="AM57" i="5"/>
  <c r="AN57" i="5"/>
  <c r="AO57" i="5"/>
  <c r="AP57" i="5"/>
  <c r="AQ57" i="5"/>
  <c r="AR57" i="5"/>
  <c r="AS57" i="5"/>
  <c r="AT57" i="5"/>
  <c r="AU57" i="5"/>
  <c r="AV57" i="5"/>
  <c r="AW57" i="5"/>
  <c r="AX57" i="5"/>
  <c r="AY57" i="5"/>
  <c r="AZ57" i="5"/>
  <c r="BA57" i="5"/>
  <c r="BB57" i="5"/>
  <c r="BC57" i="5"/>
  <c r="BD57" i="5"/>
  <c r="BE57" i="5"/>
  <c r="BF57" i="5"/>
  <c r="BG57" i="5"/>
  <c r="BH57" i="5"/>
  <c r="BI57" i="5"/>
  <c r="BJ57" i="5"/>
  <c r="BK57" i="5"/>
  <c r="BL57" i="5"/>
  <c r="BM57" i="5"/>
  <c r="BN57" i="5"/>
  <c r="BO57" i="5"/>
  <c r="BP57" i="5"/>
  <c r="BQ57" i="5"/>
  <c r="BR57" i="5"/>
  <c r="BS57" i="5"/>
  <c r="BT57" i="5"/>
  <c r="BU57" i="5"/>
  <c r="BV57" i="5"/>
  <c r="BW57" i="5"/>
  <c r="BX57" i="5"/>
  <c r="BY57" i="5"/>
  <c r="BZ57" i="5"/>
  <c r="CA57" i="5"/>
  <c r="CB57" i="5"/>
  <c r="CC57" i="5"/>
  <c r="CD57" i="5"/>
  <c r="CE57" i="5"/>
  <c r="CF57" i="5"/>
  <c r="CG57" i="5"/>
  <c r="CH57" i="5"/>
  <c r="CI57" i="5"/>
  <c r="CJ57" i="5"/>
  <c r="CK57" i="5"/>
  <c r="CL57" i="5"/>
  <c r="CM57" i="5"/>
  <c r="CN57" i="5"/>
  <c r="CO57" i="5"/>
  <c r="CP57" i="5"/>
  <c r="CQ57" i="5"/>
  <c r="CR57" i="5"/>
  <c r="CS57" i="5"/>
  <c r="CT57" i="5"/>
  <c r="CU57" i="5"/>
  <c r="CV57" i="5"/>
  <c r="CW57" i="5"/>
  <c r="CX57" i="5"/>
  <c r="CY57" i="5"/>
  <c r="CZ57" i="5"/>
  <c r="DA57" i="5"/>
  <c r="DB57" i="5"/>
  <c r="DC57" i="5"/>
  <c r="DD57" i="5"/>
  <c r="DE57" i="5"/>
  <c r="DF57" i="5"/>
  <c r="DG57" i="5"/>
  <c r="DH57" i="5"/>
  <c r="DI57" i="5"/>
  <c r="DJ57" i="5"/>
  <c r="DK57" i="5"/>
  <c r="DL57" i="5"/>
  <c r="DM57" i="5"/>
  <c r="DN57" i="5"/>
  <c r="DO57" i="5"/>
  <c r="DP57" i="5"/>
  <c r="DQ57" i="5"/>
  <c r="DR57" i="5"/>
  <c r="DS57" i="5"/>
  <c r="DT57" i="5"/>
  <c r="DU57" i="5"/>
  <c r="DV57" i="5"/>
  <c r="DW57" i="5"/>
  <c r="DX57" i="5"/>
  <c r="DY57" i="5"/>
  <c r="DZ57" i="5"/>
  <c r="EA57" i="5"/>
  <c r="EB57" i="5"/>
  <c r="EC57" i="5"/>
  <c r="ED57" i="5"/>
  <c r="EE57" i="5"/>
  <c r="EF57" i="5"/>
  <c r="EG57" i="5"/>
  <c r="EH57" i="5"/>
  <c r="EI57" i="5"/>
  <c r="EJ57" i="5"/>
  <c r="EK57" i="5"/>
  <c r="EL57" i="5"/>
  <c r="EM57" i="5"/>
  <c r="EN57" i="5"/>
  <c r="EO57" i="5"/>
  <c r="EP57" i="5"/>
  <c r="EQ57" i="5"/>
  <c r="ER57" i="5"/>
  <c r="ES57" i="5"/>
  <c r="ET57" i="5"/>
  <c r="EU57" i="5"/>
  <c r="EV57" i="5"/>
  <c r="EW57" i="5"/>
  <c r="EX57" i="5"/>
  <c r="EY57" i="5"/>
  <c r="EZ57" i="5"/>
  <c r="FA57" i="5"/>
  <c r="FB57" i="5"/>
  <c r="FC57" i="5"/>
  <c r="FD57" i="5"/>
  <c r="FE57" i="5"/>
  <c r="FF57" i="5"/>
  <c r="FG57" i="5"/>
  <c r="FH57" i="5"/>
  <c r="FI57" i="5"/>
  <c r="FJ57" i="5"/>
  <c r="FK57" i="5"/>
  <c r="FL57" i="5"/>
  <c r="FM57" i="5"/>
  <c r="FN57" i="5"/>
  <c r="FO57" i="5"/>
  <c r="FP57" i="5"/>
  <c r="FQ57" i="5"/>
  <c r="FR57" i="5"/>
  <c r="FS57" i="5"/>
  <c r="FT57" i="5"/>
  <c r="FU57" i="5"/>
  <c r="FV57" i="5"/>
  <c r="FW57" i="5"/>
  <c r="FX57" i="5"/>
  <c r="FY57" i="5"/>
  <c r="FZ57" i="5"/>
  <c r="GA57" i="5"/>
  <c r="GB57" i="5"/>
  <c r="GC57" i="5"/>
  <c r="GD57" i="5"/>
  <c r="GE57" i="5"/>
  <c r="GF57" i="5"/>
  <c r="GG57" i="5"/>
  <c r="GH57" i="5"/>
  <c r="GI57" i="5"/>
  <c r="GJ57" i="5"/>
  <c r="GK57" i="5"/>
  <c r="GL57" i="5"/>
  <c r="GM57" i="5"/>
  <c r="GN57" i="5"/>
  <c r="GO57" i="5"/>
  <c r="GP57" i="5"/>
  <c r="GQ57" i="5"/>
  <c r="GR57" i="5"/>
  <c r="GS57" i="5"/>
  <c r="GT57" i="5"/>
  <c r="GU57" i="5"/>
  <c r="GV57" i="5"/>
  <c r="GW57" i="5"/>
  <c r="GX57" i="5"/>
  <c r="GY57" i="5"/>
  <c r="GZ57" i="5"/>
  <c r="HA57" i="5"/>
  <c r="HB57" i="5"/>
  <c r="HC57" i="5"/>
  <c r="HD57" i="5"/>
  <c r="HE57" i="5"/>
  <c r="HF57" i="5"/>
  <c r="HG57" i="5"/>
  <c r="HH57" i="5"/>
  <c r="HI57" i="5"/>
  <c r="HJ57" i="5"/>
  <c r="HK57" i="5"/>
  <c r="HL57" i="5"/>
  <c r="HM57" i="5"/>
  <c r="HN57" i="5"/>
  <c r="HO57" i="5"/>
  <c r="HP57" i="5"/>
  <c r="HQ57" i="5"/>
  <c r="HR57" i="5"/>
  <c r="HS57" i="5"/>
  <c r="HT57" i="5"/>
  <c r="HU57" i="5"/>
  <c r="HV57" i="5"/>
  <c r="HW57" i="5"/>
  <c r="HX57" i="5"/>
  <c r="HY57" i="5"/>
  <c r="HZ57" i="5"/>
  <c r="IA57" i="5"/>
  <c r="IB57" i="5"/>
  <c r="IC57" i="5"/>
  <c r="ID57" i="5"/>
  <c r="IE57" i="5"/>
  <c r="IF57" i="5"/>
  <c r="IG57" i="5"/>
  <c r="IH57" i="5"/>
  <c r="II57" i="5"/>
  <c r="IJ57" i="5"/>
  <c r="IK57" i="5"/>
  <c r="IL57" i="5"/>
  <c r="IM57" i="5"/>
  <c r="IN57" i="5"/>
  <c r="IO57" i="5"/>
  <c r="IP57" i="5"/>
  <c r="IQ57" i="5"/>
  <c r="IR57" i="5"/>
  <c r="IS57" i="5"/>
  <c r="IT57" i="5"/>
  <c r="IU57" i="5"/>
  <c r="IV57" i="5"/>
  <c r="A56" i="5"/>
  <c r="B56" i="5"/>
  <c r="C56" i="5"/>
  <c r="D56" i="5"/>
  <c r="E56" i="5"/>
  <c r="F56" i="5"/>
  <c r="G56" i="5"/>
  <c r="H56" i="5"/>
  <c r="I56" i="5"/>
  <c r="J56" i="5"/>
  <c r="K56" i="5"/>
  <c r="L56" i="5"/>
  <c r="M56" i="5"/>
  <c r="N56" i="5"/>
  <c r="O56" i="5"/>
  <c r="P56" i="5"/>
  <c r="Q56" i="5"/>
  <c r="R56" i="5"/>
  <c r="S56" i="5"/>
  <c r="T56" i="5"/>
  <c r="U56" i="5"/>
  <c r="V56" i="5"/>
  <c r="W56" i="5"/>
  <c r="X56" i="5"/>
  <c r="Y56" i="5"/>
  <c r="Z56" i="5"/>
  <c r="AA56" i="5"/>
  <c r="AB56" i="5"/>
  <c r="AC56" i="5"/>
  <c r="AD56" i="5"/>
  <c r="AE56" i="5"/>
  <c r="AF56" i="5"/>
  <c r="AG56" i="5"/>
  <c r="AH56" i="5"/>
  <c r="AI56" i="5"/>
  <c r="AJ56" i="5"/>
  <c r="AK56" i="5"/>
  <c r="AL56" i="5"/>
  <c r="AM56" i="5"/>
  <c r="AN56" i="5"/>
  <c r="AO56" i="5"/>
  <c r="AP56" i="5"/>
  <c r="AQ56" i="5"/>
  <c r="AR56" i="5"/>
  <c r="AS56" i="5"/>
  <c r="AT56" i="5"/>
  <c r="AU56" i="5"/>
  <c r="AV56" i="5"/>
  <c r="AW56" i="5"/>
  <c r="AX56" i="5"/>
  <c r="AY56" i="5"/>
  <c r="AZ56" i="5"/>
  <c r="BA56" i="5"/>
  <c r="BB56" i="5"/>
  <c r="BC56" i="5"/>
  <c r="BD56" i="5"/>
  <c r="BE56" i="5"/>
  <c r="BF56" i="5"/>
  <c r="BG56" i="5"/>
  <c r="BH56" i="5"/>
  <c r="BI56" i="5"/>
  <c r="BJ56" i="5"/>
  <c r="BK56" i="5"/>
  <c r="BL56" i="5"/>
  <c r="BM56" i="5"/>
  <c r="BN56" i="5"/>
  <c r="BO56" i="5"/>
  <c r="BP56" i="5"/>
  <c r="BQ56" i="5"/>
  <c r="BR56" i="5"/>
  <c r="BS56" i="5"/>
  <c r="BT56" i="5"/>
  <c r="BU56" i="5"/>
  <c r="BV56" i="5"/>
  <c r="BW56" i="5"/>
  <c r="BX56" i="5"/>
  <c r="BY56" i="5"/>
  <c r="BZ56" i="5"/>
  <c r="CA56" i="5"/>
  <c r="CB56" i="5"/>
  <c r="CC56" i="5"/>
  <c r="CD56" i="5"/>
  <c r="CE56" i="5"/>
  <c r="CF56" i="5"/>
  <c r="CG56" i="5"/>
  <c r="CH56" i="5"/>
  <c r="CI56" i="5"/>
  <c r="CJ56" i="5"/>
  <c r="CK56" i="5"/>
  <c r="CL56" i="5"/>
  <c r="CM56" i="5"/>
  <c r="CN56" i="5"/>
  <c r="CO56" i="5"/>
  <c r="CP56" i="5"/>
  <c r="CQ56" i="5"/>
  <c r="CR56" i="5"/>
  <c r="CS56" i="5"/>
  <c r="CT56" i="5"/>
  <c r="CU56" i="5"/>
  <c r="CV56" i="5"/>
  <c r="CW56" i="5"/>
  <c r="CX56" i="5"/>
  <c r="CY56" i="5"/>
  <c r="CZ56" i="5"/>
  <c r="DA56" i="5"/>
  <c r="DB56" i="5"/>
  <c r="DC56" i="5"/>
  <c r="DD56" i="5"/>
  <c r="DE56" i="5"/>
  <c r="DF56" i="5"/>
  <c r="DG56" i="5"/>
  <c r="DH56" i="5"/>
  <c r="DI56" i="5"/>
  <c r="DJ56" i="5"/>
  <c r="DK56" i="5"/>
  <c r="DL56" i="5"/>
  <c r="DM56" i="5"/>
  <c r="DN56" i="5"/>
  <c r="DO56" i="5"/>
  <c r="DP56" i="5"/>
  <c r="DQ56" i="5"/>
  <c r="DR56" i="5"/>
  <c r="DS56" i="5"/>
  <c r="DT56" i="5"/>
  <c r="DU56" i="5"/>
  <c r="DV56" i="5"/>
  <c r="DW56" i="5"/>
  <c r="DX56" i="5"/>
  <c r="DY56" i="5"/>
  <c r="DZ56" i="5"/>
  <c r="EA56" i="5"/>
  <c r="EB56" i="5"/>
  <c r="EC56" i="5"/>
  <c r="ED56" i="5"/>
  <c r="EE56" i="5"/>
  <c r="EF56" i="5"/>
  <c r="EG56" i="5"/>
  <c r="EH56" i="5"/>
  <c r="EI56" i="5"/>
  <c r="EJ56" i="5"/>
  <c r="EK56" i="5"/>
  <c r="EL56" i="5"/>
  <c r="EM56" i="5"/>
  <c r="EN56" i="5"/>
  <c r="EO56" i="5"/>
  <c r="EP56" i="5"/>
  <c r="EQ56" i="5"/>
  <c r="ER56" i="5"/>
  <c r="ES56" i="5"/>
  <c r="ET56" i="5"/>
  <c r="EU56" i="5"/>
  <c r="EV56" i="5"/>
  <c r="EW56" i="5"/>
  <c r="EX56" i="5"/>
  <c r="EY56" i="5"/>
  <c r="EZ56" i="5"/>
  <c r="FA56" i="5"/>
  <c r="FB56" i="5"/>
  <c r="FC56" i="5"/>
  <c r="FD56" i="5"/>
  <c r="FE56" i="5"/>
  <c r="FF56" i="5"/>
  <c r="FG56" i="5"/>
  <c r="FH56" i="5"/>
  <c r="FI56" i="5"/>
  <c r="FJ56" i="5"/>
  <c r="FK56" i="5"/>
  <c r="FL56" i="5"/>
  <c r="FM56" i="5"/>
  <c r="FN56" i="5"/>
  <c r="FO56" i="5"/>
  <c r="FP56" i="5"/>
  <c r="FQ56" i="5"/>
  <c r="FR56" i="5"/>
  <c r="FS56" i="5"/>
  <c r="FT56" i="5"/>
  <c r="FU56" i="5"/>
  <c r="FV56" i="5"/>
  <c r="FW56" i="5"/>
  <c r="FX56" i="5"/>
  <c r="FY56" i="5"/>
  <c r="FZ56" i="5"/>
  <c r="GA56" i="5"/>
  <c r="GB56" i="5"/>
  <c r="GC56" i="5"/>
  <c r="GD56" i="5"/>
  <c r="GE56" i="5"/>
  <c r="GF56" i="5"/>
  <c r="GG56" i="5"/>
  <c r="GH56" i="5"/>
  <c r="GI56" i="5"/>
  <c r="GJ56" i="5"/>
  <c r="GK56" i="5"/>
  <c r="GL56" i="5"/>
  <c r="GM56" i="5"/>
  <c r="GN56" i="5"/>
  <c r="GO56" i="5"/>
  <c r="GP56" i="5"/>
  <c r="GQ56" i="5"/>
  <c r="GR56" i="5"/>
  <c r="GS56" i="5"/>
  <c r="GT56" i="5"/>
  <c r="GU56" i="5"/>
  <c r="GV56" i="5"/>
  <c r="GW56" i="5"/>
  <c r="GX56" i="5"/>
  <c r="GY56" i="5"/>
  <c r="GZ56" i="5"/>
  <c r="HA56" i="5"/>
  <c r="HB56" i="5"/>
  <c r="HC56" i="5"/>
  <c r="HD56" i="5"/>
  <c r="HE56" i="5"/>
  <c r="HF56" i="5"/>
  <c r="HG56" i="5"/>
  <c r="HH56" i="5"/>
  <c r="HI56" i="5"/>
  <c r="HJ56" i="5"/>
  <c r="HK56" i="5"/>
  <c r="HL56" i="5"/>
  <c r="HM56" i="5"/>
  <c r="HN56" i="5"/>
  <c r="HO56" i="5"/>
  <c r="HP56" i="5"/>
  <c r="HQ56" i="5"/>
  <c r="HR56" i="5"/>
  <c r="HS56" i="5"/>
  <c r="HT56" i="5"/>
  <c r="HU56" i="5"/>
  <c r="HV56" i="5"/>
  <c r="HW56" i="5"/>
  <c r="HX56" i="5"/>
  <c r="HY56" i="5"/>
  <c r="HZ56" i="5"/>
  <c r="IA56" i="5"/>
  <c r="IB56" i="5"/>
  <c r="IC56" i="5"/>
  <c r="ID56" i="5"/>
  <c r="IE56" i="5"/>
  <c r="IF56" i="5"/>
  <c r="IG56" i="5"/>
  <c r="IH56" i="5"/>
  <c r="II56" i="5"/>
  <c r="IJ56" i="5"/>
  <c r="IK56" i="5"/>
  <c r="IL56" i="5"/>
  <c r="IM56" i="5"/>
  <c r="IN56" i="5"/>
  <c r="IO56" i="5"/>
  <c r="IP56" i="5"/>
  <c r="IQ56" i="5"/>
  <c r="IR56" i="5"/>
  <c r="IS56" i="5"/>
  <c r="IT56" i="5"/>
  <c r="IU56" i="5"/>
  <c r="IV56" i="5"/>
  <c r="A55" i="5"/>
  <c r="B55" i="5"/>
  <c r="C55" i="5"/>
  <c r="D55" i="5"/>
  <c r="E55" i="5"/>
  <c r="F55" i="5"/>
  <c r="G55" i="5"/>
  <c r="H55" i="5"/>
  <c r="I55" i="5"/>
  <c r="J55" i="5"/>
  <c r="K55" i="5"/>
  <c r="L55" i="5"/>
  <c r="M55" i="5"/>
  <c r="N55" i="5"/>
  <c r="O55" i="5"/>
  <c r="P55" i="5"/>
  <c r="Q55" i="5"/>
  <c r="R55" i="5"/>
  <c r="S55" i="5"/>
  <c r="T55" i="5"/>
  <c r="U55" i="5"/>
  <c r="V55" i="5"/>
  <c r="W55" i="5"/>
  <c r="X55" i="5"/>
  <c r="Y55" i="5"/>
  <c r="Z55" i="5"/>
  <c r="AA55" i="5"/>
  <c r="AB55" i="5"/>
  <c r="AC55" i="5"/>
  <c r="AD55" i="5"/>
  <c r="AE55" i="5"/>
  <c r="AF55" i="5"/>
  <c r="AG55" i="5"/>
  <c r="AH55" i="5"/>
  <c r="AI55" i="5"/>
  <c r="AJ55" i="5"/>
  <c r="AK55" i="5"/>
  <c r="AL55" i="5"/>
  <c r="AM55" i="5"/>
  <c r="AN55" i="5"/>
  <c r="AO55" i="5"/>
  <c r="AP55" i="5"/>
  <c r="AQ55" i="5"/>
  <c r="AR55" i="5"/>
  <c r="AS55" i="5"/>
  <c r="AT55" i="5"/>
  <c r="AU55" i="5"/>
  <c r="AV55" i="5"/>
  <c r="AW55" i="5"/>
  <c r="AX55" i="5"/>
  <c r="AY55" i="5"/>
  <c r="AZ55" i="5"/>
  <c r="BA55" i="5"/>
  <c r="BB55" i="5"/>
  <c r="BC55" i="5"/>
  <c r="BD55" i="5"/>
  <c r="BE55" i="5"/>
  <c r="BF55" i="5"/>
  <c r="BG55" i="5"/>
  <c r="BH55" i="5"/>
  <c r="BI55" i="5"/>
  <c r="BJ55" i="5"/>
  <c r="BK55" i="5"/>
  <c r="BL55" i="5"/>
  <c r="BM55" i="5"/>
  <c r="BN55" i="5"/>
  <c r="BO55" i="5"/>
  <c r="BP55" i="5"/>
  <c r="BQ55" i="5"/>
  <c r="BR55" i="5"/>
  <c r="BS55" i="5"/>
  <c r="BT55" i="5"/>
  <c r="BU55" i="5"/>
  <c r="BV55" i="5"/>
  <c r="BW55" i="5"/>
  <c r="BX55" i="5"/>
  <c r="BY55" i="5"/>
  <c r="BZ55" i="5"/>
  <c r="CA55" i="5"/>
  <c r="CB55" i="5"/>
  <c r="CC55" i="5"/>
  <c r="CD55" i="5"/>
  <c r="CE55" i="5"/>
  <c r="CF55" i="5"/>
  <c r="CG55" i="5"/>
  <c r="CH55" i="5"/>
  <c r="CI55" i="5"/>
  <c r="CJ55" i="5"/>
  <c r="CK55" i="5"/>
  <c r="CL55" i="5"/>
  <c r="CM55" i="5"/>
  <c r="CN55" i="5"/>
  <c r="CO55" i="5"/>
  <c r="CP55" i="5"/>
  <c r="CQ55" i="5"/>
  <c r="CR55" i="5"/>
  <c r="CS55" i="5"/>
  <c r="CT55" i="5"/>
  <c r="CU55" i="5"/>
  <c r="CV55" i="5"/>
  <c r="CW55" i="5"/>
  <c r="CX55" i="5"/>
  <c r="CY55" i="5"/>
  <c r="CZ55" i="5"/>
  <c r="DA55" i="5"/>
  <c r="DB55" i="5"/>
  <c r="DC55" i="5"/>
  <c r="DD55" i="5"/>
  <c r="DE55" i="5"/>
  <c r="DF55" i="5"/>
  <c r="DG55" i="5"/>
  <c r="DH55" i="5"/>
  <c r="DI55" i="5"/>
  <c r="DJ55" i="5"/>
  <c r="DK55" i="5"/>
  <c r="DL55" i="5"/>
  <c r="DM55" i="5"/>
  <c r="DN55" i="5"/>
  <c r="DO55" i="5"/>
  <c r="DP55" i="5"/>
  <c r="DQ55" i="5"/>
  <c r="DR55" i="5"/>
  <c r="DS55" i="5"/>
  <c r="DT55" i="5"/>
  <c r="DU55" i="5"/>
  <c r="DV55" i="5"/>
  <c r="DW55" i="5"/>
  <c r="DX55" i="5"/>
  <c r="DY55" i="5"/>
  <c r="DZ55" i="5"/>
  <c r="EA55" i="5"/>
  <c r="EB55" i="5"/>
  <c r="EC55" i="5"/>
  <c r="ED55" i="5"/>
  <c r="EE55" i="5"/>
  <c r="EF55" i="5"/>
  <c r="EG55" i="5"/>
  <c r="EH55" i="5"/>
  <c r="EI55" i="5"/>
  <c r="EJ55" i="5"/>
  <c r="EK55" i="5"/>
  <c r="EL55" i="5"/>
  <c r="EM55" i="5"/>
  <c r="EN55" i="5"/>
  <c r="EO55" i="5"/>
  <c r="EP55" i="5"/>
  <c r="EQ55" i="5"/>
  <c r="ER55" i="5"/>
  <c r="ES55" i="5"/>
  <c r="ET55" i="5"/>
  <c r="EU55" i="5"/>
  <c r="EV55" i="5"/>
  <c r="EW55" i="5"/>
  <c r="EX55" i="5"/>
  <c r="EY55" i="5"/>
  <c r="EZ55" i="5"/>
  <c r="FA55" i="5"/>
  <c r="FB55" i="5"/>
  <c r="FC55" i="5"/>
  <c r="FD55" i="5"/>
  <c r="FE55" i="5"/>
  <c r="FF55" i="5"/>
  <c r="FG55" i="5"/>
  <c r="FH55" i="5"/>
  <c r="FI55" i="5"/>
  <c r="FJ55" i="5"/>
  <c r="FK55" i="5"/>
  <c r="FL55" i="5"/>
  <c r="FM55" i="5"/>
  <c r="FN55" i="5"/>
  <c r="FO55" i="5"/>
  <c r="FP55" i="5"/>
  <c r="FQ55" i="5"/>
  <c r="FR55" i="5"/>
  <c r="FS55" i="5"/>
  <c r="FT55" i="5"/>
  <c r="FU55" i="5"/>
  <c r="FV55" i="5"/>
  <c r="FW55" i="5"/>
  <c r="FX55" i="5"/>
  <c r="FY55" i="5"/>
  <c r="FZ55" i="5"/>
  <c r="GA55" i="5"/>
  <c r="GB55" i="5"/>
  <c r="GC55" i="5"/>
  <c r="GD55" i="5"/>
  <c r="GE55" i="5"/>
  <c r="GF55" i="5"/>
  <c r="GG55" i="5"/>
  <c r="GH55" i="5"/>
  <c r="GI55" i="5"/>
  <c r="GJ55" i="5"/>
  <c r="GK55" i="5"/>
  <c r="GL55" i="5"/>
  <c r="GM55" i="5"/>
  <c r="GN55" i="5"/>
  <c r="GO55" i="5"/>
  <c r="GP55" i="5"/>
  <c r="GQ55" i="5"/>
  <c r="GR55" i="5"/>
  <c r="GS55" i="5"/>
  <c r="GT55" i="5"/>
  <c r="GU55" i="5"/>
  <c r="GV55" i="5"/>
  <c r="GW55" i="5"/>
  <c r="GX55" i="5"/>
  <c r="GY55" i="5"/>
  <c r="GZ55" i="5"/>
  <c r="HA55" i="5"/>
  <c r="HB55" i="5"/>
  <c r="HC55" i="5"/>
  <c r="HD55" i="5"/>
  <c r="HE55" i="5"/>
  <c r="HF55" i="5"/>
  <c r="HG55" i="5"/>
  <c r="HH55" i="5"/>
  <c r="HI55" i="5"/>
  <c r="HJ55" i="5"/>
  <c r="HK55" i="5"/>
  <c r="HL55" i="5"/>
  <c r="HM55" i="5"/>
  <c r="HN55" i="5"/>
  <c r="HO55" i="5"/>
  <c r="HP55" i="5"/>
  <c r="HQ55" i="5"/>
  <c r="HR55" i="5"/>
  <c r="HS55" i="5"/>
  <c r="HT55" i="5"/>
  <c r="HU55" i="5"/>
  <c r="HV55" i="5"/>
  <c r="HW55" i="5"/>
  <c r="HX55" i="5"/>
  <c r="HY55" i="5"/>
  <c r="HZ55" i="5"/>
  <c r="IA55" i="5"/>
  <c r="IB55" i="5"/>
  <c r="IC55" i="5"/>
  <c r="ID55" i="5"/>
  <c r="IE55" i="5"/>
  <c r="IF55" i="5"/>
  <c r="IG55" i="5"/>
  <c r="IH55" i="5"/>
  <c r="II55" i="5"/>
  <c r="IJ55" i="5"/>
  <c r="IK55" i="5"/>
  <c r="IL55" i="5"/>
  <c r="IM55" i="5"/>
  <c r="IN55" i="5"/>
  <c r="IO55" i="5"/>
  <c r="IP55" i="5"/>
  <c r="IQ55" i="5"/>
  <c r="IR55" i="5"/>
  <c r="IS55" i="5"/>
  <c r="IT55" i="5"/>
  <c r="IU55" i="5"/>
  <c r="IV55" i="5"/>
  <c r="A54" i="5"/>
  <c r="B54" i="5"/>
  <c r="C54" i="5"/>
  <c r="D54" i="5"/>
  <c r="E54" i="5"/>
  <c r="F54" i="5"/>
  <c r="G54" i="5"/>
  <c r="H54" i="5"/>
  <c r="I54" i="5"/>
  <c r="J54" i="5"/>
  <c r="K54" i="5"/>
  <c r="L54" i="5"/>
  <c r="M54" i="5"/>
  <c r="N54" i="5"/>
  <c r="O54" i="5"/>
  <c r="P54" i="5"/>
  <c r="Q54" i="5"/>
  <c r="R54" i="5"/>
  <c r="S54" i="5"/>
  <c r="T54" i="5"/>
  <c r="U54" i="5"/>
  <c r="V54" i="5"/>
  <c r="W54" i="5"/>
  <c r="X54" i="5"/>
  <c r="Y54" i="5"/>
  <c r="Z54" i="5"/>
  <c r="AA54" i="5"/>
  <c r="AB54" i="5"/>
  <c r="AC54" i="5"/>
  <c r="AD54" i="5"/>
  <c r="AE54" i="5"/>
  <c r="AF54" i="5"/>
  <c r="AG54" i="5"/>
  <c r="AH54" i="5"/>
  <c r="AI54" i="5"/>
  <c r="AJ54" i="5"/>
  <c r="AK54" i="5"/>
  <c r="AL54" i="5"/>
  <c r="AM54" i="5"/>
  <c r="AN54" i="5"/>
  <c r="AO54" i="5"/>
  <c r="AP54" i="5"/>
  <c r="AQ54" i="5"/>
  <c r="AR54" i="5"/>
  <c r="AS54" i="5"/>
  <c r="AT54" i="5"/>
  <c r="AU54" i="5"/>
  <c r="AV54" i="5"/>
  <c r="AW54" i="5"/>
  <c r="AX54" i="5"/>
  <c r="AY54" i="5"/>
  <c r="BA54" i="5"/>
  <c r="BB54" i="5"/>
  <c r="BC54" i="5"/>
  <c r="BD54" i="5"/>
  <c r="BE54" i="5"/>
  <c r="BF54" i="5"/>
  <c r="BG54" i="5"/>
  <c r="BH54" i="5"/>
  <c r="BI54" i="5"/>
  <c r="BJ54" i="5"/>
  <c r="BK54" i="5"/>
  <c r="BL54" i="5"/>
  <c r="BM54" i="5"/>
  <c r="BN54" i="5"/>
  <c r="BO54" i="5"/>
  <c r="BP54" i="5"/>
  <c r="BQ54" i="5"/>
  <c r="BR54" i="5"/>
  <c r="BS54" i="5"/>
  <c r="BT54" i="5"/>
  <c r="BU54" i="5"/>
  <c r="BV54" i="5"/>
  <c r="BW54" i="5"/>
  <c r="BX54" i="5"/>
  <c r="BY54" i="5"/>
  <c r="BZ54" i="5"/>
  <c r="CA54" i="5"/>
  <c r="CB54" i="5"/>
  <c r="CC54" i="5"/>
  <c r="CD54" i="5"/>
  <c r="CE54" i="5"/>
  <c r="CF54" i="5"/>
  <c r="CG54" i="5"/>
  <c r="CH54" i="5"/>
  <c r="CI54" i="5"/>
  <c r="CJ54" i="5"/>
  <c r="CK54" i="5"/>
  <c r="CL54" i="5"/>
  <c r="CM54" i="5"/>
  <c r="CN54" i="5"/>
  <c r="CO54" i="5"/>
  <c r="CP54" i="5"/>
  <c r="CQ54" i="5"/>
  <c r="CR54" i="5"/>
  <c r="CS54" i="5"/>
  <c r="CT54" i="5"/>
  <c r="CU54" i="5"/>
  <c r="CV54" i="5"/>
  <c r="CW54" i="5"/>
  <c r="CX54" i="5"/>
  <c r="CY54" i="5"/>
  <c r="CZ54" i="5"/>
  <c r="DA54" i="5"/>
  <c r="DB54" i="5"/>
  <c r="DC54" i="5"/>
  <c r="DD54" i="5"/>
  <c r="DE54" i="5"/>
  <c r="DF54" i="5"/>
  <c r="DG54" i="5"/>
  <c r="DH54" i="5"/>
  <c r="DI54" i="5"/>
  <c r="DJ54" i="5"/>
  <c r="DK54" i="5"/>
  <c r="DL54" i="5"/>
  <c r="DM54" i="5"/>
  <c r="DN54" i="5"/>
  <c r="DO54" i="5"/>
  <c r="DP54" i="5"/>
  <c r="DQ54" i="5"/>
  <c r="DR54" i="5"/>
  <c r="DS54" i="5"/>
  <c r="DT54" i="5"/>
  <c r="DU54" i="5"/>
  <c r="DV54" i="5"/>
  <c r="DW54" i="5"/>
  <c r="DX54" i="5"/>
  <c r="DY54" i="5"/>
  <c r="DZ54" i="5"/>
  <c r="EA54" i="5"/>
  <c r="EB54" i="5"/>
  <c r="EC54" i="5"/>
  <c r="ED54" i="5"/>
  <c r="EE54" i="5"/>
  <c r="EF54" i="5"/>
  <c r="EG54" i="5"/>
  <c r="EH54" i="5"/>
  <c r="EI54" i="5"/>
  <c r="EJ54" i="5"/>
  <c r="EK54" i="5"/>
  <c r="EL54" i="5"/>
  <c r="EM54" i="5"/>
  <c r="EN54" i="5"/>
  <c r="EO54" i="5"/>
  <c r="EP54" i="5"/>
  <c r="EQ54" i="5"/>
  <c r="ER54" i="5"/>
  <c r="ES54" i="5"/>
  <c r="ET54" i="5"/>
  <c r="EU54" i="5"/>
  <c r="EV54" i="5"/>
  <c r="EW54" i="5"/>
  <c r="EX54" i="5"/>
  <c r="EY54" i="5"/>
  <c r="EZ54" i="5"/>
  <c r="FA54" i="5"/>
  <c r="FB54" i="5"/>
  <c r="FC54" i="5"/>
  <c r="FD54" i="5"/>
  <c r="FE54" i="5"/>
  <c r="FF54" i="5"/>
  <c r="FG54" i="5"/>
  <c r="FH54" i="5"/>
  <c r="FI54" i="5"/>
  <c r="FJ54" i="5"/>
  <c r="FK54" i="5"/>
  <c r="FL54" i="5"/>
  <c r="FM54" i="5"/>
  <c r="FN54" i="5"/>
  <c r="FO54" i="5"/>
  <c r="FP54" i="5"/>
  <c r="FQ54" i="5"/>
  <c r="FR54" i="5"/>
  <c r="FS54" i="5"/>
  <c r="FT54" i="5"/>
  <c r="FU54" i="5"/>
  <c r="FV54" i="5"/>
  <c r="FW54" i="5"/>
  <c r="FX54" i="5"/>
  <c r="FY54" i="5"/>
  <c r="FZ54" i="5"/>
  <c r="GA54" i="5"/>
  <c r="GB54" i="5"/>
  <c r="GC54" i="5"/>
  <c r="GD54" i="5"/>
  <c r="GE54" i="5"/>
  <c r="GF54" i="5"/>
  <c r="GG54" i="5"/>
  <c r="GH54" i="5"/>
  <c r="GI54" i="5"/>
  <c r="GJ54" i="5"/>
  <c r="GK54" i="5"/>
  <c r="GL54" i="5"/>
  <c r="GM54" i="5"/>
  <c r="GN54" i="5"/>
  <c r="GO54" i="5"/>
  <c r="GP54" i="5"/>
  <c r="GQ54" i="5"/>
  <c r="GR54" i="5"/>
  <c r="GS54" i="5"/>
  <c r="GT54" i="5"/>
  <c r="GU54" i="5"/>
  <c r="GV54" i="5"/>
  <c r="GW54" i="5"/>
  <c r="GX54" i="5"/>
  <c r="GY54" i="5"/>
  <c r="GZ54" i="5"/>
  <c r="HA54" i="5"/>
  <c r="HB54" i="5"/>
  <c r="HC54" i="5"/>
  <c r="HD54" i="5"/>
  <c r="HE54" i="5"/>
  <c r="HF54" i="5"/>
  <c r="HG54" i="5"/>
  <c r="HH54" i="5"/>
  <c r="HI54" i="5"/>
  <c r="HJ54" i="5"/>
  <c r="HK54" i="5"/>
  <c r="HL54" i="5"/>
  <c r="HM54" i="5"/>
  <c r="HN54" i="5"/>
  <c r="HO54" i="5"/>
  <c r="HP54" i="5"/>
  <c r="HQ54" i="5"/>
  <c r="HR54" i="5"/>
  <c r="HS54" i="5"/>
  <c r="HT54" i="5"/>
  <c r="HU54" i="5"/>
  <c r="HV54" i="5"/>
  <c r="HW54" i="5"/>
  <c r="HX54" i="5"/>
  <c r="HY54" i="5"/>
  <c r="HZ54" i="5"/>
  <c r="IA54" i="5"/>
  <c r="IB54" i="5"/>
  <c r="IC54" i="5"/>
  <c r="ID54" i="5"/>
  <c r="IE54" i="5"/>
  <c r="IF54" i="5"/>
  <c r="IG54" i="5"/>
  <c r="IH54" i="5"/>
  <c r="II54" i="5"/>
  <c r="IJ54" i="5"/>
  <c r="IK54" i="5"/>
  <c r="IL54" i="5"/>
  <c r="IM54" i="5"/>
  <c r="IN54" i="5"/>
  <c r="IO54" i="5"/>
  <c r="IP54" i="5"/>
  <c r="IQ54" i="5"/>
  <c r="IR54" i="5"/>
  <c r="IS54" i="5"/>
  <c r="IT54" i="5"/>
  <c r="IU54" i="5"/>
  <c r="IV54" i="5"/>
  <c r="A53" i="5"/>
  <c r="B53" i="5"/>
  <c r="C53" i="5"/>
  <c r="D53" i="5"/>
  <c r="E53" i="5"/>
  <c r="F53" i="5"/>
  <c r="G53" i="5"/>
  <c r="H53" i="5"/>
  <c r="I53" i="5"/>
  <c r="J53" i="5"/>
  <c r="K53" i="5"/>
  <c r="L53" i="5"/>
  <c r="M53" i="5"/>
  <c r="N53" i="5"/>
  <c r="O53" i="5"/>
  <c r="P53" i="5"/>
  <c r="Q53" i="5"/>
  <c r="R53" i="5"/>
  <c r="S53" i="5"/>
  <c r="T53" i="5"/>
  <c r="U53" i="5"/>
  <c r="V53" i="5"/>
  <c r="W53" i="5"/>
  <c r="X53" i="5"/>
  <c r="Y53" i="5"/>
  <c r="Z53" i="5"/>
  <c r="AA53" i="5"/>
  <c r="AB53" i="5"/>
  <c r="AC53" i="5"/>
  <c r="AD53" i="5"/>
  <c r="AE53" i="5"/>
  <c r="AF53" i="5"/>
  <c r="AG53" i="5"/>
  <c r="AH53" i="5"/>
  <c r="AI53" i="5"/>
  <c r="AJ53" i="5"/>
  <c r="AK53" i="5"/>
  <c r="AL53" i="5"/>
  <c r="AM53" i="5"/>
  <c r="AN53" i="5"/>
  <c r="AO53" i="5"/>
  <c r="AP53" i="5"/>
  <c r="AQ53" i="5"/>
  <c r="AR53" i="5"/>
  <c r="AS53" i="5"/>
  <c r="AT53" i="5"/>
  <c r="AU53" i="5"/>
  <c r="AV53" i="5"/>
  <c r="AW53" i="5"/>
  <c r="AX53" i="5"/>
  <c r="AY53" i="5"/>
  <c r="AZ53" i="5"/>
  <c r="BA53" i="5"/>
  <c r="BB53" i="5"/>
  <c r="BC53" i="5"/>
  <c r="BD53" i="5"/>
  <c r="BE53" i="5"/>
  <c r="BF53" i="5"/>
  <c r="BG53" i="5"/>
  <c r="BH53" i="5"/>
  <c r="BI53" i="5"/>
  <c r="BJ53" i="5"/>
  <c r="BK53" i="5"/>
  <c r="BL53" i="5"/>
  <c r="BM53" i="5"/>
  <c r="BN53" i="5"/>
  <c r="BO53" i="5"/>
  <c r="BP53" i="5"/>
  <c r="BQ53" i="5"/>
  <c r="BR53" i="5"/>
  <c r="BS53" i="5"/>
  <c r="BT53" i="5"/>
  <c r="BU53" i="5"/>
  <c r="BV53" i="5"/>
  <c r="BW53" i="5"/>
  <c r="BX53" i="5"/>
  <c r="BY53" i="5"/>
  <c r="BZ53" i="5"/>
  <c r="CA53" i="5"/>
  <c r="CB53" i="5"/>
  <c r="CC53" i="5"/>
  <c r="CD53" i="5"/>
  <c r="CE53" i="5"/>
  <c r="CF53" i="5"/>
  <c r="CG53" i="5"/>
  <c r="CH53" i="5"/>
  <c r="CI53" i="5"/>
  <c r="CJ53" i="5"/>
  <c r="CK53" i="5"/>
  <c r="CL53" i="5"/>
  <c r="CM53" i="5"/>
  <c r="CN53" i="5"/>
  <c r="CO53" i="5"/>
  <c r="CP53" i="5"/>
  <c r="CQ53" i="5"/>
  <c r="CR53" i="5"/>
  <c r="CS53" i="5"/>
  <c r="CT53" i="5"/>
  <c r="CU53" i="5"/>
  <c r="CV53" i="5"/>
  <c r="CW53" i="5"/>
  <c r="CX53" i="5"/>
  <c r="CY53" i="5"/>
  <c r="CZ53" i="5"/>
  <c r="DA53" i="5"/>
  <c r="DB53" i="5"/>
  <c r="DC53" i="5"/>
  <c r="DD53" i="5"/>
  <c r="DE53" i="5"/>
  <c r="DF53" i="5"/>
  <c r="DG53" i="5"/>
  <c r="DH53" i="5"/>
  <c r="DI53" i="5"/>
  <c r="DJ53" i="5"/>
  <c r="DK53" i="5"/>
  <c r="DL53" i="5"/>
  <c r="DM53" i="5"/>
  <c r="DN53" i="5"/>
  <c r="DO53" i="5"/>
  <c r="DP53" i="5"/>
  <c r="DQ53" i="5"/>
  <c r="DR53" i="5"/>
  <c r="DS53" i="5"/>
  <c r="DT53" i="5"/>
  <c r="DU53" i="5"/>
  <c r="DV53" i="5"/>
  <c r="DW53" i="5"/>
  <c r="DX53" i="5"/>
  <c r="DY53" i="5"/>
  <c r="DZ53" i="5"/>
  <c r="EA53" i="5"/>
  <c r="EB53" i="5"/>
  <c r="EC53" i="5"/>
  <c r="ED53" i="5"/>
  <c r="EE53" i="5"/>
  <c r="EF53" i="5"/>
  <c r="EG53" i="5"/>
  <c r="EH53" i="5"/>
  <c r="EI53" i="5"/>
  <c r="EJ53" i="5"/>
  <c r="EK53" i="5"/>
  <c r="EL53" i="5"/>
  <c r="EM53" i="5"/>
  <c r="EN53" i="5"/>
  <c r="EO53" i="5"/>
  <c r="EP53" i="5"/>
  <c r="EQ53" i="5"/>
  <c r="ER53" i="5"/>
  <c r="ES53" i="5"/>
  <c r="ET53" i="5"/>
  <c r="EU53" i="5"/>
  <c r="EV53" i="5"/>
  <c r="EW53" i="5"/>
  <c r="EX53" i="5"/>
  <c r="EY53" i="5"/>
  <c r="EZ53" i="5"/>
  <c r="FA53" i="5"/>
  <c r="FB53" i="5"/>
  <c r="FC53" i="5"/>
  <c r="FD53" i="5"/>
  <c r="FE53" i="5"/>
  <c r="FF53" i="5"/>
  <c r="FG53" i="5"/>
  <c r="FH53" i="5"/>
  <c r="FI53" i="5"/>
  <c r="FJ53" i="5"/>
  <c r="FK53" i="5"/>
  <c r="FL53" i="5"/>
  <c r="FM53" i="5"/>
  <c r="FN53" i="5"/>
  <c r="FO53" i="5"/>
  <c r="FP53" i="5"/>
  <c r="FQ53" i="5"/>
  <c r="FR53" i="5"/>
  <c r="FS53" i="5"/>
  <c r="FT53" i="5"/>
  <c r="FU53" i="5"/>
  <c r="FV53" i="5"/>
  <c r="FW53" i="5"/>
  <c r="FX53" i="5"/>
  <c r="FY53" i="5"/>
  <c r="FZ53" i="5"/>
  <c r="GA53" i="5"/>
  <c r="GB53" i="5"/>
  <c r="GC53" i="5"/>
  <c r="GD53" i="5"/>
  <c r="GE53" i="5"/>
  <c r="GF53" i="5"/>
  <c r="GG53" i="5"/>
  <c r="GH53" i="5"/>
  <c r="GI53" i="5"/>
  <c r="GJ53" i="5"/>
  <c r="GK53" i="5"/>
  <c r="GL53" i="5"/>
  <c r="GM53" i="5"/>
  <c r="GN53" i="5"/>
  <c r="GO53" i="5"/>
  <c r="GP53" i="5"/>
  <c r="GQ53" i="5"/>
  <c r="GR53" i="5"/>
  <c r="GS53" i="5"/>
  <c r="GT53" i="5"/>
  <c r="GU53" i="5"/>
  <c r="GV53" i="5"/>
  <c r="GW53" i="5"/>
  <c r="GX53" i="5"/>
  <c r="GY53" i="5"/>
  <c r="GZ53" i="5"/>
  <c r="HA53" i="5"/>
  <c r="HB53" i="5"/>
  <c r="HC53" i="5"/>
  <c r="HD53" i="5"/>
  <c r="HE53" i="5"/>
  <c r="HF53" i="5"/>
  <c r="HG53" i="5"/>
  <c r="HH53" i="5"/>
  <c r="HI53" i="5"/>
  <c r="HJ53" i="5"/>
  <c r="HK53" i="5"/>
  <c r="HL53" i="5"/>
  <c r="HM53" i="5"/>
  <c r="HN53" i="5"/>
  <c r="HO53" i="5"/>
  <c r="HP53" i="5"/>
  <c r="HQ53" i="5"/>
  <c r="HR53" i="5"/>
  <c r="HS53" i="5"/>
  <c r="HT53" i="5"/>
  <c r="HU53" i="5"/>
  <c r="HV53" i="5"/>
  <c r="HW53" i="5"/>
  <c r="HX53" i="5"/>
  <c r="HY53" i="5"/>
  <c r="HZ53" i="5"/>
  <c r="IA53" i="5"/>
  <c r="IB53" i="5"/>
  <c r="IC53" i="5"/>
  <c r="ID53" i="5"/>
  <c r="IE53" i="5"/>
  <c r="IF53" i="5"/>
  <c r="IG53" i="5"/>
  <c r="IH53" i="5"/>
  <c r="II53" i="5"/>
  <c r="IJ53" i="5"/>
  <c r="IK53" i="5"/>
  <c r="IL53" i="5"/>
  <c r="IM53" i="5"/>
  <c r="IN53" i="5"/>
  <c r="IO53" i="5"/>
  <c r="IP53" i="5"/>
  <c r="IQ53" i="5"/>
  <c r="IR53" i="5"/>
  <c r="IS53" i="5"/>
  <c r="IT53" i="5"/>
  <c r="IU53" i="5"/>
  <c r="IV53" i="5"/>
  <c r="A52" i="5"/>
  <c r="B52" i="5"/>
  <c r="C52" i="5"/>
  <c r="D52" i="5"/>
  <c r="E52" i="5"/>
  <c r="F52" i="5"/>
  <c r="G52" i="5"/>
  <c r="H52" i="5"/>
  <c r="I52" i="5"/>
  <c r="J52" i="5"/>
  <c r="K52" i="5"/>
  <c r="L52" i="5"/>
  <c r="M52" i="5"/>
  <c r="N52" i="5"/>
  <c r="O52" i="5"/>
  <c r="P52" i="5"/>
  <c r="Q52" i="5"/>
  <c r="R52" i="5"/>
  <c r="S52" i="5"/>
  <c r="T52" i="5"/>
  <c r="U52" i="5"/>
  <c r="V52" i="5"/>
  <c r="W52" i="5"/>
  <c r="X52" i="5"/>
  <c r="Y52" i="5"/>
  <c r="Z52" i="5"/>
  <c r="AA52" i="5"/>
  <c r="AB52" i="5"/>
  <c r="AC52" i="5"/>
  <c r="AD52" i="5"/>
  <c r="AE52" i="5"/>
  <c r="AF52" i="5"/>
  <c r="AG52" i="5"/>
  <c r="AH52" i="5"/>
  <c r="AI52" i="5"/>
  <c r="AJ52" i="5"/>
  <c r="AK52" i="5"/>
  <c r="AL52" i="5"/>
  <c r="AM52" i="5"/>
  <c r="AN52" i="5"/>
  <c r="AO52" i="5"/>
  <c r="AP52" i="5"/>
  <c r="AQ52" i="5"/>
  <c r="AR52" i="5"/>
  <c r="AS52" i="5"/>
  <c r="AT52" i="5"/>
  <c r="AU52" i="5"/>
  <c r="AV52" i="5"/>
  <c r="AW52" i="5"/>
  <c r="AX52" i="5"/>
  <c r="AY52" i="5"/>
  <c r="AZ52" i="5"/>
  <c r="BA52" i="5"/>
  <c r="BB52" i="5"/>
  <c r="BC52" i="5"/>
  <c r="BD52" i="5"/>
  <c r="BE52" i="5"/>
  <c r="BF52" i="5"/>
  <c r="BG52" i="5"/>
  <c r="BH52" i="5"/>
  <c r="BI52" i="5"/>
  <c r="BJ52" i="5"/>
  <c r="BK52" i="5"/>
  <c r="BL52" i="5"/>
  <c r="BM52" i="5"/>
  <c r="BN52" i="5"/>
  <c r="BO52" i="5"/>
  <c r="BP52" i="5"/>
  <c r="BQ52" i="5"/>
  <c r="BR52" i="5"/>
  <c r="BS52" i="5"/>
  <c r="BT52" i="5"/>
  <c r="BU52" i="5"/>
  <c r="BV52" i="5"/>
  <c r="BW52" i="5"/>
  <c r="BX52" i="5"/>
  <c r="BY52" i="5"/>
  <c r="BZ52" i="5"/>
  <c r="CA52" i="5"/>
  <c r="CB52" i="5"/>
  <c r="CC52" i="5"/>
  <c r="CD52" i="5"/>
  <c r="CE52" i="5"/>
  <c r="CF52" i="5"/>
  <c r="CG52" i="5"/>
  <c r="CH52" i="5"/>
  <c r="CI52" i="5"/>
  <c r="CJ52" i="5"/>
  <c r="CK52" i="5"/>
  <c r="CL52" i="5"/>
  <c r="CM52" i="5"/>
  <c r="CN52" i="5"/>
  <c r="CO52" i="5"/>
  <c r="CP52" i="5"/>
  <c r="CQ52" i="5"/>
  <c r="CR52" i="5"/>
  <c r="CS52" i="5"/>
  <c r="CT52" i="5"/>
  <c r="CU52" i="5"/>
  <c r="CV52" i="5"/>
  <c r="CW52" i="5"/>
  <c r="CX52" i="5"/>
  <c r="CY52" i="5"/>
  <c r="CZ52" i="5"/>
  <c r="DA52" i="5"/>
  <c r="DB52" i="5"/>
  <c r="DC52" i="5"/>
  <c r="DD52" i="5"/>
  <c r="DE52" i="5"/>
  <c r="DF52" i="5"/>
  <c r="DG52" i="5"/>
  <c r="DH52" i="5"/>
  <c r="DI52" i="5"/>
  <c r="DJ52" i="5"/>
  <c r="DK52" i="5"/>
  <c r="DL52" i="5"/>
  <c r="DM52" i="5"/>
  <c r="DN52" i="5"/>
  <c r="DO52" i="5"/>
  <c r="DP52" i="5"/>
  <c r="DQ52" i="5"/>
  <c r="DR52" i="5"/>
  <c r="DS52" i="5"/>
  <c r="DT52" i="5"/>
  <c r="DU52" i="5"/>
  <c r="DV52" i="5"/>
  <c r="DW52" i="5"/>
  <c r="DX52" i="5"/>
  <c r="DY52" i="5"/>
  <c r="DZ52" i="5"/>
  <c r="EA52" i="5"/>
  <c r="EB52" i="5"/>
  <c r="EC52" i="5"/>
  <c r="ED52" i="5"/>
  <c r="EE52" i="5"/>
  <c r="EF52" i="5"/>
  <c r="EG52" i="5"/>
  <c r="EH52" i="5"/>
  <c r="EI52" i="5"/>
  <c r="EJ52" i="5"/>
  <c r="EK52" i="5"/>
  <c r="EL52" i="5"/>
  <c r="EM52" i="5"/>
  <c r="EN52" i="5"/>
  <c r="EO52" i="5"/>
  <c r="EP52" i="5"/>
  <c r="EQ52" i="5"/>
  <c r="ER52" i="5"/>
  <c r="ES52" i="5"/>
  <c r="ET52" i="5"/>
  <c r="EU52" i="5"/>
  <c r="EV52" i="5"/>
  <c r="EW52" i="5"/>
  <c r="EX52" i="5"/>
  <c r="EY52" i="5"/>
  <c r="EZ52" i="5"/>
  <c r="FA52" i="5"/>
  <c r="FB52" i="5"/>
  <c r="FC52" i="5"/>
  <c r="FD52" i="5"/>
  <c r="FE52" i="5"/>
  <c r="FF52" i="5"/>
  <c r="FG52" i="5"/>
  <c r="FH52" i="5"/>
  <c r="FI52" i="5"/>
  <c r="FJ52" i="5"/>
  <c r="FK52" i="5"/>
  <c r="FL52" i="5"/>
  <c r="FM52" i="5"/>
  <c r="FN52" i="5"/>
  <c r="FO52" i="5"/>
  <c r="FP52" i="5"/>
  <c r="FQ52" i="5"/>
  <c r="FR52" i="5"/>
  <c r="FS52" i="5"/>
  <c r="FT52" i="5"/>
  <c r="FU52" i="5"/>
  <c r="FV52" i="5"/>
  <c r="FW52" i="5"/>
  <c r="FX52" i="5"/>
  <c r="FY52" i="5"/>
  <c r="FZ52" i="5"/>
  <c r="GA52" i="5"/>
  <c r="GB52" i="5"/>
  <c r="GC52" i="5"/>
  <c r="GD52" i="5"/>
  <c r="GE52" i="5"/>
  <c r="GF52" i="5"/>
  <c r="GG52" i="5"/>
  <c r="GH52" i="5"/>
  <c r="GI52" i="5"/>
  <c r="GJ52" i="5"/>
  <c r="GK52" i="5"/>
  <c r="GL52" i="5"/>
  <c r="GM52" i="5"/>
  <c r="GN52" i="5"/>
  <c r="GO52" i="5"/>
  <c r="GP52" i="5"/>
  <c r="GQ52" i="5"/>
  <c r="GR52" i="5"/>
  <c r="GS52" i="5"/>
  <c r="GT52" i="5"/>
  <c r="GU52" i="5"/>
  <c r="GV52" i="5"/>
  <c r="GW52" i="5"/>
  <c r="GX52" i="5"/>
  <c r="GY52" i="5"/>
  <c r="GZ52" i="5"/>
  <c r="HA52" i="5"/>
  <c r="HB52" i="5"/>
  <c r="HC52" i="5"/>
  <c r="HD52" i="5"/>
  <c r="HE52" i="5"/>
  <c r="HF52" i="5"/>
  <c r="HG52" i="5"/>
  <c r="HH52" i="5"/>
  <c r="HI52" i="5"/>
  <c r="HJ52" i="5"/>
  <c r="HK52" i="5"/>
  <c r="HL52" i="5"/>
  <c r="HM52" i="5"/>
  <c r="HN52" i="5"/>
  <c r="HO52" i="5"/>
  <c r="HP52" i="5"/>
  <c r="HQ52" i="5"/>
  <c r="HR52" i="5"/>
  <c r="HS52" i="5"/>
  <c r="HT52" i="5"/>
  <c r="HU52" i="5"/>
  <c r="HV52" i="5"/>
  <c r="HW52" i="5"/>
  <c r="HX52" i="5"/>
  <c r="HY52" i="5"/>
  <c r="HZ52" i="5"/>
  <c r="IA52" i="5"/>
  <c r="IB52" i="5"/>
  <c r="IC52" i="5"/>
  <c r="ID52" i="5"/>
  <c r="IE52" i="5"/>
  <c r="IF52" i="5"/>
  <c r="IG52" i="5"/>
  <c r="IH52" i="5"/>
  <c r="II52" i="5"/>
  <c r="IJ52" i="5"/>
  <c r="IK52" i="5"/>
  <c r="IL52" i="5"/>
  <c r="IM52" i="5"/>
  <c r="IN52" i="5"/>
  <c r="IO52" i="5"/>
  <c r="IP52" i="5"/>
  <c r="IQ52" i="5"/>
  <c r="IR52" i="5"/>
  <c r="IS52" i="5"/>
  <c r="IT52" i="5"/>
  <c r="IU52" i="5"/>
  <c r="IV52" i="5"/>
  <c r="A51" i="5"/>
  <c r="B51" i="5"/>
  <c r="C51" i="5"/>
  <c r="D51" i="5"/>
  <c r="E51" i="5"/>
  <c r="F51" i="5"/>
  <c r="G51" i="5"/>
  <c r="H51" i="5"/>
  <c r="I51" i="5"/>
  <c r="J51" i="5"/>
  <c r="K51" i="5"/>
  <c r="L51" i="5"/>
  <c r="M51" i="5"/>
  <c r="N51" i="5"/>
  <c r="O51" i="5"/>
  <c r="P51" i="5"/>
  <c r="Q51" i="5"/>
  <c r="R51" i="5"/>
  <c r="S51" i="5"/>
  <c r="T51" i="5"/>
  <c r="U51" i="5"/>
  <c r="V51" i="5"/>
  <c r="W51" i="5"/>
  <c r="X51" i="5"/>
  <c r="Y51" i="5"/>
  <c r="Z51" i="5"/>
  <c r="AA51" i="5"/>
  <c r="AB51" i="5"/>
  <c r="AC51" i="5"/>
  <c r="AD51" i="5"/>
  <c r="AE51" i="5"/>
  <c r="AF51" i="5"/>
  <c r="AG51" i="5"/>
  <c r="AH51" i="5"/>
  <c r="AI51" i="5"/>
  <c r="AJ51" i="5"/>
  <c r="AK51" i="5"/>
  <c r="AL51" i="5"/>
  <c r="AM51" i="5"/>
  <c r="AN51" i="5"/>
  <c r="AO51" i="5"/>
  <c r="AP51" i="5"/>
  <c r="AR51" i="5"/>
  <c r="AT51" i="5"/>
  <c r="AV51" i="5"/>
  <c r="AX51" i="5"/>
  <c r="AZ51" i="5"/>
  <c r="BB51" i="5"/>
  <c r="BD51" i="5"/>
  <c r="BF51" i="5"/>
  <c r="BH51" i="5"/>
  <c r="BJ51" i="5"/>
  <c r="BL51" i="5"/>
  <c r="BM51" i="5"/>
  <c r="BN51" i="5"/>
  <c r="BO51" i="5"/>
  <c r="BP51" i="5"/>
  <c r="BQ51" i="5"/>
  <c r="BS51" i="5"/>
  <c r="BT51" i="5"/>
  <c r="BU51" i="5"/>
  <c r="BW51" i="5"/>
  <c r="BY51" i="5"/>
  <c r="CA51" i="5"/>
  <c r="CD51" i="5"/>
  <c r="CE51" i="5"/>
  <c r="CF51" i="5"/>
  <c r="CG51" i="5"/>
  <c r="CH51" i="5"/>
  <c r="CJ51" i="5"/>
  <c r="CK51" i="5"/>
  <c r="CL51" i="5"/>
  <c r="CM51" i="5"/>
  <c r="CN51" i="5"/>
  <c r="CP51" i="5"/>
  <c r="CQ51" i="5"/>
  <c r="CR51" i="5"/>
  <c r="CS51" i="5"/>
  <c r="CT51" i="5"/>
  <c r="CV51" i="5"/>
  <c r="CW51" i="5"/>
  <c r="CX51" i="5"/>
  <c r="CZ51" i="5"/>
  <c r="DA51" i="5"/>
  <c r="DB51" i="5"/>
  <c r="DC51" i="5"/>
  <c r="DD51" i="5"/>
  <c r="DE51" i="5"/>
  <c r="DF51" i="5"/>
  <c r="DG51" i="5"/>
  <c r="DH51" i="5"/>
  <c r="DI51" i="5"/>
  <c r="DJ51" i="5"/>
  <c r="DK51" i="5"/>
  <c r="DL51" i="5"/>
  <c r="DM51" i="5"/>
  <c r="DN51" i="5"/>
  <c r="DO51" i="5"/>
  <c r="DP51" i="5"/>
  <c r="DQ51" i="5"/>
  <c r="DR51" i="5"/>
  <c r="DS51" i="5"/>
  <c r="DT51" i="5"/>
  <c r="DU51" i="5"/>
  <c r="DV51" i="5"/>
  <c r="DW51" i="5"/>
  <c r="DX51" i="5"/>
  <c r="DY51" i="5"/>
  <c r="DZ51" i="5"/>
  <c r="EA51" i="5"/>
  <c r="EB51" i="5"/>
  <c r="EC51" i="5"/>
  <c r="ED51" i="5"/>
  <c r="EE51" i="5"/>
  <c r="EF51" i="5"/>
  <c r="EG51" i="5"/>
  <c r="EH51" i="5"/>
  <c r="EI51" i="5"/>
  <c r="EJ51" i="5"/>
  <c r="EK51" i="5"/>
  <c r="EL51" i="5"/>
  <c r="EM51" i="5"/>
  <c r="EN51" i="5"/>
  <c r="EO51" i="5"/>
  <c r="EP51" i="5"/>
  <c r="EQ51" i="5"/>
  <c r="ER51" i="5"/>
  <c r="ES51" i="5"/>
  <c r="ET51" i="5"/>
  <c r="EU51" i="5"/>
  <c r="EV51" i="5"/>
  <c r="EW51" i="5"/>
  <c r="EX51" i="5"/>
  <c r="EY51" i="5"/>
  <c r="EZ51" i="5"/>
  <c r="FA51" i="5"/>
  <c r="FB51" i="5"/>
  <c r="FC51" i="5"/>
  <c r="FD51" i="5"/>
  <c r="FE51" i="5"/>
  <c r="FF51" i="5"/>
  <c r="FG51" i="5"/>
  <c r="FH51" i="5"/>
  <c r="FI51" i="5"/>
  <c r="FJ51" i="5"/>
  <c r="FK51" i="5"/>
  <c r="FL51" i="5"/>
  <c r="FM51" i="5"/>
  <c r="FN51" i="5"/>
  <c r="FO51" i="5"/>
  <c r="FP51" i="5"/>
  <c r="FQ51" i="5"/>
  <c r="FR51" i="5"/>
  <c r="FS51" i="5"/>
  <c r="FT51" i="5"/>
  <c r="FU51" i="5"/>
  <c r="FV51" i="5"/>
  <c r="FW51" i="5"/>
  <c r="FX51" i="5"/>
  <c r="FY51" i="5"/>
  <c r="FZ51" i="5"/>
  <c r="GA51" i="5"/>
  <c r="GB51" i="5"/>
  <c r="GC51" i="5"/>
  <c r="GD51" i="5"/>
  <c r="GE51" i="5"/>
  <c r="GF51" i="5"/>
  <c r="GG51" i="5"/>
  <c r="GH51" i="5"/>
  <c r="GI51" i="5"/>
  <c r="GJ51" i="5"/>
  <c r="GK51" i="5"/>
  <c r="GL51" i="5"/>
  <c r="GM51" i="5"/>
  <c r="GN51" i="5"/>
  <c r="GO51" i="5"/>
  <c r="GP51" i="5"/>
  <c r="GQ51" i="5"/>
  <c r="GR51" i="5"/>
  <c r="GS51" i="5"/>
  <c r="GT51" i="5"/>
  <c r="GU51" i="5"/>
  <c r="GV51" i="5"/>
  <c r="GW51" i="5"/>
  <c r="GX51" i="5"/>
  <c r="GY51" i="5"/>
  <c r="GZ51" i="5"/>
  <c r="HA51" i="5"/>
  <c r="HB51" i="5"/>
  <c r="HC51" i="5"/>
  <c r="HD51" i="5"/>
  <c r="HE51" i="5"/>
  <c r="HF51" i="5"/>
  <c r="HG51" i="5"/>
  <c r="HH51" i="5"/>
  <c r="HI51" i="5"/>
  <c r="HJ51" i="5"/>
  <c r="HK51" i="5"/>
  <c r="HL51" i="5"/>
  <c r="HM51" i="5"/>
  <c r="HN51" i="5"/>
  <c r="HO51" i="5"/>
  <c r="HP51" i="5"/>
  <c r="HQ51" i="5"/>
  <c r="HR51" i="5"/>
  <c r="HS51" i="5"/>
  <c r="HT51" i="5"/>
  <c r="HU51" i="5"/>
  <c r="HV51" i="5"/>
  <c r="HW51" i="5"/>
  <c r="HX51" i="5"/>
  <c r="HY51" i="5"/>
  <c r="HZ51" i="5"/>
  <c r="IA51" i="5"/>
  <c r="IB51" i="5"/>
  <c r="IC51" i="5"/>
  <c r="ID51" i="5"/>
  <c r="IE51" i="5"/>
  <c r="IF51" i="5"/>
  <c r="IG51" i="5"/>
  <c r="IH51" i="5"/>
  <c r="II51" i="5"/>
  <c r="IJ51" i="5"/>
  <c r="IK51" i="5"/>
  <c r="IL51" i="5"/>
  <c r="IM51" i="5"/>
  <c r="IN51" i="5"/>
  <c r="IO51" i="5"/>
  <c r="IP51" i="5"/>
  <c r="IQ51" i="5"/>
  <c r="IR51" i="5"/>
  <c r="IS51" i="5"/>
  <c r="IT51" i="5"/>
  <c r="IU51" i="5"/>
  <c r="IV51" i="5"/>
  <c r="A50" i="5"/>
  <c r="B50" i="5"/>
  <c r="C50" i="5"/>
  <c r="D50" i="5"/>
  <c r="E50" i="5"/>
  <c r="F50" i="5"/>
  <c r="G50" i="5"/>
  <c r="H50" i="5"/>
  <c r="I50" i="5"/>
  <c r="J50" i="5"/>
  <c r="K50" i="5"/>
  <c r="L50" i="5"/>
  <c r="M50" i="5"/>
  <c r="N50" i="5"/>
  <c r="P50" i="5"/>
  <c r="Q50" i="5"/>
  <c r="R50" i="5"/>
  <c r="S50" i="5"/>
  <c r="T50" i="5"/>
  <c r="U50" i="5"/>
  <c r="V50" i="5"/>
  <c r="W50" i="5"/>
  <c r="X50" i="5"/>
  <c r="Y50" i="5"/>
  <c r="Z50" i="5"/>
  <c r="AA50" i="5"/>
  <c r="AB50" i="5"/>
  <c r="AC50" i="5"/>
  <c r="AD50" i="5"/>
  <c r="AE50" i="5"/>
  <c r="AF50" i="5"/>
  <c r="AG50" i="5"/>
  <c r="AH50" i="5"/>
  <c r="AI50" i="5"/>
  <c r="AJ50" i="5"/>
  <c r="AK50" i="5"/>
  <c r="AL50" i="5"/>
  <c r="AM50" i="5"/>
  <c r="AN50" i="5"/>
  <c r="AO50" i="5"/>
  <c r="AP50" i="5"/>
  <c r="AQ50" i="5"/>
  <c r="AR50" i="5"/>
  <c r="AS50" i="5"/>
  <c r="AT50" i="5"/>
  <c r="AU50" i="5"/>
  <c r="AV50" i="5"/>
  <c r="AW50" i="5"/>
  <c r="AX50" i="5"/>
  <c r="AY50" i="5"/>
  <c r="AZ50" i="5"/>
  <c r="BA50" i="5"/>
  <c r="BB50" i="5"/>
  <c r="BC50" i="5"/>
  <c r="BD50" i="5"/>
  <c r="BE50" i="5"/>
  <c r="BF50" i="5"/>
  <c r="BG50" i="5"/>
  <c r="BH50" i="5"/>
  <c r="BI50" i="5"/>
  <c r="BJ50" i="5"/>
  <c r="BK50" i="5"/>
  <c r="BL50" i="5"/>
  <c r="BM50" i="5"/>
  <c r="BN50" i="5"/>
  <c r="BO50" i="5"/>
  <c r="BP50" i="5"/>
  <c r="BQ50" i="5"/>
  <c r="BR50" i="5"/>
  <c r="BS50" i="5"/>
  <c r="BT50" i="5"/>
  <c r="BU50" i="5"/>
  <c r="BV50" i="5"/>
  <c r="BW50" i="5"/>
  <c r="BX50" i="5"/>
  <c r="BY50" i="5"/>
  <c r="BZ50" i="5"/>
  <c r="CA50" i="5"/>
  <c r="CB50" i="5"/>
  <c r="CC50" i="5"/>
  <c r="CD50" i="5"/>
  <c r="CE50" i="5"/>
  <c r="CF50" i="5"/>
  <c r="CG50" i="5"/>
  <c r="CH50" i="5"/>
  <c r="CI50" i="5"/>
  <c r="CJ50" i="5"/>
  <c r="CK50" i="5"/>
  <c r="CL50" i="5"/>
  <c r="CM50" i="5"/>
  <c r="CN50" i="5"/>
  <c r="CO50" i="5"/>
  <c r="CP50" i="5"/>
  <c r="CQ50" i="5"/>
  <c r="CR50" i="5"/>
  <c r="CS50" i="5"/>
  <c r="CT50" i="5"/>
  <c r="CU50" i="5"/>
  <c r="CV50" i="5"/>
  <c r="CW50" i="5"/>
  <c r="CX50" i="5"/>
  <c r="CY50" i="5"/>
  <c r="CZ50" i="5"/>
  <c r="DA50" i="5"/>
  <c r="DB50" i="5"/>
  <c r="DC50" i="5"/>
  <c r="DD50" i="5"/>
  <c r="DE50" i="5"/>
  <c r="DF50" i="5"/>
  <c r="DG50" i="5"/>
  <c r="DH50" i="5"/>
  <c r="DI50" i="5"/>
  <c r="DJ50" i="5"/>
  <c r="DK50" i="5"/>
  <c r="DL50" i="5"/>
  <c r="DM50" i="5"/>
  <c r="DN50" i="5"/>
  <c r="DO50" i="5"/>
  <c r="DP50" i="5"/>
  <c r="DQ50" i="5"/>
  <c r="DR50" i="5"/>
  <c r="DS50" i="5"/>
  <c r="DT50" i="5"/>
  <c r="DU50" i="5"/>
  <c r="DV50" i="5"/>
  <c r="DW50" i="5"/>
  <c r="DX50" i="5"/>
  <c r="DY50" i="5"/>
  <c r="DZ50" i="5"/>
  <c r="EA50" i="5"/>
  <c r="EB50" i="5"/>
  <c r="EC50" i="5"/>
  <c r="ED50" i="5"/>
  <c r="EE50" i="5"/>
  <c r="EF50" i="5"/>
  <c r="EG50" i="5"/>
  <c r="EH50" i="5"/>
  <c r="EI50" i="5"/>
  <c r="EJ50" i="5"/>
  <c r="EK50" i="5"/>
  <c r="EL50" i="5"/>
  <c r="EM50" i="5"/>
  <c r="EN50" i="5"/>
  <c r="EO50" i="5"/>
  <c r="EP50" i="5"/>
  <c r="EQ50" i="5"/>
  <c r="ER50" i="5"/>
  <c r="ES50" i="5"/>
  <c r="ET50" i="5"/>
  <c r="EU50" i="5"/>
  <c r="EV50" i="5"/>
  <c r="EW50" i="5"/>
  <c r="EX50" i="5"/>
  <c r="EY50" i="5"/>
  <c r="EZ50" i="5"/>
  <c r="FA50" i="5"/>
  <c r="FB50" i="5"/>
  <c r="FC50" i="5"/>
  <c r="FD50" i="5"/>
  <c r="FE50" i="5"/>
  <c r="FF50" i="5"/>
  <c r="FG50" i="5"/>
  <c r="FH50" i="5"/>
  <c r="FI50" i="5"/>
  <c r="FJ50" i="5"/>
  <c r="FK50" i="5"/>
  <c r="FL50" i="5"/>
  <c r="FM50" i="5"/>
  <c r="FN50" i="5"/>
  <c r="FO50" i="5"/>
  <c r="FP50" i="5"/>
  <c r="FQ50" i="5"/>
  <c r="FR50" i="5"/>
  <c r="FS50" i="5"/>
  <c r="FT50" i="5"/>
  <c r="FU50" i="5"/>
  <c r="FV50" i="5"/>
  <c r="FW50" i="5"/>
  <c r="FX50" i="5"/>
  <c r="FY50" i="5"/>
  <c r="FZ50" i="5"/>
  <c r="GA50" i="5"/>
  <c r="GB50" i="5"/>
  <c r="GC50" i="5"/>
  <c r="GD50" i="5"/>
  <c r="GE50" i="5"/>
  <c r="GF50" i="5"/>
  <c r="GG50" i="5"/>
  <c r="GH50" i="5"/>
  <c r="GI50" i="5"/>
  <c r="GJ50" i="5"/>
  <c r="GK50" i="5"/>
  <c r="GL50" i="5"/>
  <c r="GM50" i="5"/>
  <c r="GN50" i="5"/>
  <c r="GO50" i="5"/>
  <c r="GP50" i="5"/>
  <c r="GQ50" i="5"/>
  <c r="GR50" i="5"/>
  <c r="GS50" i="5"/>
  <c r="GT50" i="5"/>
  <c r="GU50" i="5"/>
  <c r="GV50" i="5"/>
  <c r="GW50" i="5"/>
  <c r="GX50" i="5"/>
  <c r="GY50" i="5"/>
  <c r="GZ50" i="5"/>
  <c r="HA50" i="5"/>
  <c r="HB50" i="5"/>
  <c r="HC50" i="5"/>
  <c r="HD50" i="5"/>
  <c r="HE50" i="5"/>
  <c r="HF50" i="5"/>
  <c r="HG50" i="5"/>
  <c r="HH50" i="5"/>
  <c r="HI50" i="5"/>
  <c r="HJ50" i="5"/>
  <c r="HK50" i="5"/>
  <c r="HL50" i="5"/>
  <c r="HM50" i="5"/>
  <c r="HN50" i="5"/>
  <c r="HO50" i="5"/>
  <c r="HP50" i="5"/>
  <c r="HQ50" i="5"/>
  <c r="HR50" i="5"/>
  <c r="HS50" i="5"/>
  <c r="HT50" i="5"/>
  <c r="HU50" i="5"/>
  <c r="HV50" i="5"/>
  <c r="HW50" i="5"/>
  <c r="HX50" i="5"/>
  <c r="HY50" i="5"/>
  <c r="HZ50" i="5"/>
  <c r="IA50" i="5"/>
  <c r="IB50" i="5"/>
  <c r="IC50" i="5"/>
  <c r="ID50" i="5"/>
  <c r="IE50" i="5"/>
  <c r="IF50" i="5"/>
  <c r="IG50" i="5"/>
  <c r="IH50" i="5"/>
  <c r="II50" i="5"/>
  <c r="IJ50" i="5"/>
  <c r="IK50" i="5"/>
  <c r="IL50" i="5"/>
  <c r="IM50" i="5"/>
  <c r="IN50" i="5"/>
  <c r="IO50" i="5"/>
  <c r="IP50" i="5"/>
  <c r="IQ50" i="5"/>
  <c r="IR50" i="5"/>
  <c r="IS50" i="5"/>
  <c r="IT50" i="5"/>
  <c r="IU50" i="5"/>
  <c r="IV50" i="5"/>
  <c r="A49" i="5"/>
  <c r="B49" i="5"/>
  <c r="C49" i="5"/>
  <c r="D49" i="5"/>
  <c r="E49" i="5"/>
  <c r="F49" i="5"/>
  <c r="G49" i="5"/>
  <c r="H49" i="5"/>
  <c r="I49" i="5"/>
  <c r="J49" i="5"/>
  <c r="K49" i="5"/>
  <c r="L49" i="5"/>
  <c r="M49" i="5"/>
  <c r="N49" i="5"/>
  <c r="O49" i="5"/>
  <c r="P49" i="5"/>
  <c r="Q49" i="5"/>
  <c r="R49" i="5"/>
  <c r="S49" i="5"/>
  <c r="T49" i="5"/>
  <c r="U49" i="5"/>
  <c r="V49" i="5"/>
  <c r="W49" i="5"/>
  <c r="X49" i="5"/>
  <c r="Y49" i="5"/>
  <c r="Z49" i="5"/>
  <c r="AA49" i="5"/>
  <c r="AB49" i="5"/>
  <c r="AC49" i="5"/>
  <c r="AD49" i="5"/>
  <c r="AE49" i="5"/>
  <c r="AF49" i="5"/>
  <c r="AG49" i="5"/>
  <c r="AH49" i="5"/>
  <c r="AI49" i="5"/>
  <c r="AJ49" i="5"/>
  <c r="AK49" i="5"/>
  <c r="AL49" i="5"/>
  <c r="AM49" i="5"/>
  <c r="AN49" i="5"/>
  <c r="AO49" i="5"/>
  <c r="AP49" i="5"/>
  <c r="AQ49" i="5"/>
  <c r="AR49" i="5"/>
  <c r="AS49" i="5"/>
  <c r="AT49" i="5"/>
  <c r="AU49" i="5"/>
  <c r="AV49" i="5"/>
  <c r="AW49" i="5"/>
  <c r="AX49" i="5"/>
  <c r="AY49" i="5"/>
  <c r="AZ49" i="5"/>
  <c r="BA49" i="5"/>
  <c r="BB49" i="5"/>
  <c r="BC49" i="5"/>
  <c r="BD49" i="5"/>
  <c r="BE49" i="5"/>
  <c r="BF49" i="5"/>
  <c r="BG49" i="5"/>
  <c r="BH49" i="5"/>
  <c r="BI49" i="5"/>
  <c r="BJ49" i="5"/>
  <c r="BK49" i="5"/>
  <c r="BL49" i="5"/>
  <c r="BM49" i="5"/>
  <c r="BN49" i="5"/>
  <c r="BO49" i="5"/>
  <c r="BP49" i="5"/>
  <c r="BQ49" i="5"/>
  <c r="BR49" i="5"/>
  <c r="BS49" i="5"/>
  <c r="BT49" i="5"/>
  <c r="BU49" i="5"/>
  <c r="BV49" i="5"/>
  <c r="BW49" i="5"/>
  <c r="BX49" i="5"/>
  <c r="BY49" i="5"/>
  <c r="BZ49" i="5"/>
  <c r="CA49" i="5"/>
  <c r="CB49" i="5"/>
  <c r="CC49" i="5"/>
  <c r="CD49" i="5"/>
  <c r="CE49" i="5"/>
  <c r="CF49" i="5"/>
  <c r="CG49" i="5"/>
  <c r="CH49" i="5"/>
  <c r="CI49" i="5"/>
  <c r="CJ49" i="5"/>
  <c r="CK49" i="5"/>
  <c r="CL49" i="5"/>
  <c r="CM49" i="5"/>
  <c r="CN49" i="5"/>
  <c r="CO49" i="5"/>
  <c r="CP49" i="5"/>
  <c r="CQ49" i="5"/>
  <c r="CR49" i="5"/>
  <c r="CS49" i="5"/>
  <c r="CT49" i="5"/>
  <c r="CU49" i="5"/>
  <c r="CV49" i="5"/>
  <c r="CW49" i="5"/>
  <c r="CX49" i="5"/>
  <c r="CY49" i="5"/>
  <c r="CZ49" i="5"/>
  <c r="DA49" i="5"/>
  <c r="DB49" i="5"/>
  <c r="DC49" i="5"/>
  <c r="DD49" i="5"/>
  <c r="DE49" i="5"/>
  <c r="DF49" i="5"/>
  <c r="DG49" i="5"/>
  <c r="DH49" i="5"/>
  <c r="DI49" i="5"/>
  <c r="DJ49" i="5"/>
  <c r="DK49" i="5"/>
  <c r="DL49" i="5"/>
  <c r="DM49" i="5"/>
  <c r="DN49" i="5"/>
  <c r="DO49" i="5"/>
  <c r="DP49" i="5"/>
  <c r="DQ49" i="5"/>
  <c r="DR49" i="5"/>
  <c r="DS49" i="5"/>
  <c r="DT49" i="5"/>
  <c r="DU49" i="5"/>
  <c r="DV49" i="5"/>
  <c r="DW49" i="5"/>
  <c r="DX49" i="5"/>
  <c r="DY49" i="5"/>
  <c r="DZ49" i="5"/>
  <c r="EA49" i="5"/>
  <c r="EB49" i="5"/>
  <c r="EC49" i="5"/>
  <c r="ED49" i="5"/>
  <c r="EE49" i="5"/>
  <c r="EF49" i="5"/>
  <c r="EG49" i="5"/>
  <c r="EH49" i="5"/>
  <c r="EI49" i="5"/>
  <c r="EJ49" i="5"/>
  <c r="EK49" i="5"/>
  <c r="EL49" i="5"/>
  <c r="EM49" i="5"/>
  <c r="EN49" i="5"/>
  <c r="EO49" i="5"/>
  <c r="EP49" i="5"/>
  <c r="EQ49" i="5"/>
  <c r="ER49" i="5"/>
  <c r="ES49" i="5"/>
  <c r="ET49" i="5"/>
  <c r="EU49" i="5"/>
  <c r="EV49" i="5"/>
  <c r="EW49" i="5"/>
  <c r="EX49" i="5"/>
  <c r="EY49" i="5"/>
  <c r="EZ49" i="5"/>
  <c r="FA49" i="5"/>
  <c r="FB49" i="5"/>
  <c r="FC49" i="5"/>
  <c r="FD49" i="5"/>
  <c r="FE49" i="5"/>
  <c r="FF49" i="5"/>
  <c r="FG49" i="5"/>
  <c r="FH49" i="5"/>
  <c r="FI49" i="5"/>
  <c r="FJ49" i="5"/>
  <c r="FK49" i="5"/>
  <c r="FL49" i="5"/>
  <c r="FM49" i="5"/>
  <c r="FN49" i="5"/>
  <c r="FO49" i="5"/>
  <c r="FP49" i="5"/>
  <c r="FQ49" i="5"/>
  <c r="FR49" i="5"/>
  <c r="FS49" i="5"/>
  <c r="FT49" i="5"/>
  <c r="FU49" i="5"/>
  <c r="FV49" i="5"/>
  <c r="FW49" i="5"/>
  <c r="FX49" i="5"/>
  <c r="FY49" i="5"/>
  <c r="FZ49" i="5"/>
  <c r="GA49" i="5"/>
  <c r="GB49" i="5"/>
  <c r="GC49" i="5"/>
  <c r="GD49" i="5"/>
  <c r="GE49" i="5"/>
  <c r="GF49" i="5"/>
  <c r="GG49" i="5"/>
  <c r="GH49" i="5"/>
  <c r="GI49" i="5"/>
  <c r="GJ49" i="5"/>
  <c r="GK49" i="5"/>
  <c r="GL49" i="5"/>
  <c r="GM49" i="5"/>
  <c r="GN49" i="5"/>
  <c r="GO49" i="5"/>
  <c r="GP49" i="5"/>
  <c r="GQ49" i="5"/>
  <c r="GR49" i="5"/>
  <c r="GS49" i="5"/>
  <c r="GT49" i="5"/>
  <c r="GU49" i="5"/>
  <c r="GV49" i="5"/>
  <c r="GW49" i="5"/>
  <c r="GX49" i="5"/>
  <c r="GY49" i="5"/>
  <c r="GZ49" i="5"/>
  <c r="HA49" i="5"/>
  <c r="HB49" i="5"/>
  <c r="HC49" i="5"/>
  <c r="HD49" i="5"/>
  <c r="HE49" i="5"/>
  <c r="HF49" i="5"/>
  <c r="HG49" i="5"/>
  <c r="HH49" i="5"/>
  <c r="HI49" i="5"/>
  <c r="HJ49" i="5"/>
  <c r="HK49" i="5"/>
  <c r="HL49" i="5"/>
  <c r="HM49" i="5"/>
  <c r="HN49" i="5"/>
  <c r="HO49" i="5"/>
  <c r="HP49" i="5"/>
  <c r="HQ49" i="5"/>
  <c r="HR49" i="5"/>
  <c r="HS49" i="5"/>
  <c r="HT49" i="5"/>
  <c r="HU49" i="5"/>
  <c r="HV49" i="5"/>
  <c r="HW49" i="5"/>
  <c r="HX49" i="5"/>
  <c r="HY49" i="5"/>
  <c r="HZ49" i="5"/>
  <c r="IA49" i="5"/>
  <c r="IB49" i="5"/>
  <c r="IC49" i="5"/>
  <c r="ID49" i="5"/>
  <c r="IE49" i="5"/>
  <c r="IF49" i="5"/>
  <c r="IG49" i="5"/>
  <c r="IH49" i="5"/>
  <c r="II49" i="5"/>
  <c r="IJ49" i="5"/>
  <c r="IK49" i="5"/>
  <c r="IL49" i="5"/>
  <c r="IM49" i="5"/>
  <c r="IN49" i="5"/>
  <c r="IO49" i="5"/>
  <c r="IP49" i="5"/>
  <c r="IQ49" i="5"/>
  <c r="IR49" i="5"/>
  <c r="IS49" i="5"/>
  <c r="IT49" i="5"/>
  <c r="IU49" i="5"/>
  <c r="IV49" i="5"/>
  <c r="A48" i="5"/>
  <c r="B48" i="5"/>
  <c r="C48" i="5"/>
  <c r="D48" i="5"/>
  <c r="E48" i="5"/>
  <c r="F48" i="5"/>
  <c r="G48" i="5"/>
  <c r="H48" i="5"/>
  <c r="I48" i="5"/>
  <c r="J48" i="5"/>
  <c r="K48" i="5"/>
  <c r="L48" i="5"/>
  <c r="M48" i="5"/>
  <c r="N48" i="5"/>
  <c r="O48" i="5"/>
  <c r="P48" i="5"/>
  <c r="Q48" i="5"/>
  <c r="R48" i="5"/>
  <c r="S48" i="5"/>
  <c r="T48" i="5"/>
  <c r="U48" i="5"/>
  <c r="V48" i="5"/>
  <c r="W48" i="5"/>
  <c r="X48" i="5"/>
  <c r="Y48" i="5"/>
  <c r="Z48" i="5"/>
  <c r="AA48" i="5"/>
  <c r="AB48" i="5"/>
  <c r="AC48" i="5"/>
  <c r="AD48" i="5"/>
  <c r="AE48" i="5"/>
  <c r="AF48" i="5"/>
  <c r="AG48" i="5"/>
  <c r="AH48" i="5"/>
  <c r="AI48" i="5"/>
  <c r="AJ48" i="5"/>
  <c r="AK48" i="5"/>
  <c r="AL48" i="5"/>
  <c r="AM48" i="5"/>
  <c r="AN48" i="5"/>
  <c r="AO48" i="5"/>
  <c r="AP48" i="5"/>
  <c r="AQ48" i="5"/>
  <c r="AR48" i="5"/>
  <c r="AS48" i="5"/>
  <c r="AT48" i="5"/>
  <c r="AU48" i="5"/>
  <c r="AV48" i="5"/>
  <c r="AW48" i="5"/>
  <c r="AX48" i="5"/>
  <c r="AY48" i="5"/>
  <c r="AZ48" i="5"/>
  <c r="BA48" i="5"/>
  <c r="BB48" i="5"/>
  <c r="BC48" i="5"/>
  <c r="BD48" i="5"/>
  <c r="BE48" i="5"/>
  <c r="BF48" i="5"/>
  <c r="BG48" i="5"/>
  <c r="BH48" i="5"/>
  <c r="BI48" i="5"/>
  <c r="BJ48" i="5"/>
  <c r="BK48" i="5"/>
  <c r="BL48" i="5"/>
  <c r="BM48" i="5"/>
  <c r="BN48" i="5"/>
  <c r="BO48" i="5"/>
  <c r="BP48" i="5"/>
  <c r="BQ48" i="5"/>
  <c r="BR48" i="5"/>
  <c r="BS48" i="5"/>
  <c r="BT48" i="5"/>
  <c r="BU48" i="5"/>
  <c r="BV48" i="5"/>
  <c r="BW48" i="5"/>
  <c r="BX48" i="5"/>
  <c r="BY48" i="5"/>
  <c r="BZ48" i="5"/>
  <c r="CA48" i="5"/>
  <c r="CB48" i="5"/>
  <c r="CC48" i="5"/>
  <c r="CD48" i="5"/>
  <c r="CE48" i="5"/>
  <c r="CF48" i="5"/>
  <c r="CG48" i="5"/>
  <c r="CH48" i="5"/>
  <c r="CI48" i="5"/>
  <c r="CJ48" i="5"/>
  <c r="CK48" i="5"/>
  <c r="CL48" i="5"/>
  <c r="CM48" i="5"/>
  <c r="CN48" i="5"/>
  <c r="CO48" i="5"/>
  <c r="CP48" i="5"/>
  <c r="CQ48" i="5"/>
  <c r="CR48" i="5"/>
  <c r="CS48" i="5"/>
  <c r="CT48" i="5"/>
  <c r="CU48" i="5"/>
  <c r="CV48" i="5"/>
  <c r="CW48" i="5"/>
  <c r="CX48" i="5"/>
  <c r="CY48" i="5"/>
  <c r="CZ48" i="5"/>
  <c r="DA48" i="5"/>
  <c r="DB48" i="5"/>
  <c r="DC48" i="5"/>
  <c r="DD48" i="5"/>
  <c r="DE48" i="5"/>
  <c r="DF48" i="5"/>
  <c r="DG48" i="5"/>
  <c r="DH48" i="5"/>
  <c r="DI48" i="5"/>
  <c r="DJ48" i="5"/>
  <c r="DK48" i="5"/>
  <c r="DL48" i="5"/>
  <c r="DM48" i="5"/>
  <c r="DN48" i="5"/>
  <c r="DO48" i="5"/>
  <c r="DP48" i="5"/>
  <c r="DQ48" i="5"/>
  <c r="DR48" i="5"/>
  <c r="DS48" i="5"/>
  <c r="DT48" i="5"/>
  <c r="DU48" i="5"/>
  <c r="DV48" i="5"/>
  <c r="DW48" i="5"/>
  <c r="DX48" i="5"/>
  <c r="DY48" i="5"/>
  <c r="DZ48" i="5"/>
  <c r="EA48" i="5"/>
  <c r="EB48" i="5"/>
  <c r="EC48" i="5"/>
  <c r="ED48" i="5"/>
  <c r="EE48" i="5"/>
  <c r="EF48" i="5"/>
  <c r="EG48" i="5"/>
  <c r="EH48" i="5"/>
  <c r="EI48" i="5"/>
  <c r="EJ48" i="5"/>
  <c r="EK48" i="5"/>
  <c r="EL48" i="5"/>
  <c r="EM48" i="5"/>
  <c r="EN48" i="5"/>
  <c r="EO48" i="5"/>
  <c r="EP48" i="5"/>
  <c r="EQ48" i="5"/>
  <c r="ER48" i="5"/>
  <c r="ES48" i="5"/>
  <c r="ET48" i="5"/>
  <c r="EU48" i="5"/>
  <c r="EV48" i="5"/>
  <c r="EW48" i="5"/>
  <c r="EX48" i="5"/>
  <c r="EY48" i="5"/>
  <c r="EZ48" i="5"/>
  <c r="FA48" i="5"/>
  <c r="FB48" i="5"/>
  <c r="FC48" i="5"/>
  <c r="FD48" i="5"/>
  <c r="FE48" i="5"/>
  <c r="FF48" i="5"/>
  <c r="FG48" i="5"/>
  <c r="FH48" i="5"/>
  <c r="FI48" i="5"/>
  <c r="FJ48" i="5"/>
  <c r="FK48" i="5"/>
  <c r="FL48" i="5"/>
  <c r="FM48" i="5"/>
  <c r="FN48" i="5"/>
  <c r="FO48" i="5"/>
  <c r="FP48" i="5"/>
  <c r="FQ48" i="5"/>
  <c r="FR48" i="5"/>
  <c r="FS48" i="5"/>
  <c r="FT48" i="5"/>
  <c r="FU48" i="5"/>
  <c r="FV48" i="5"/>
  <c r="FW48" i="5"/>
  <c r="FX48" i="5"/>
  <c r="FY48" i="5"/>
  <c r="FZ48" i="5"/>
  <c r="GA48" i="5"/>
  <c r="GB48" i="5"/>
  <c r="GC48" i="5"/>
  <c r="GD48" i="5"/>
  <c r="GE48" i="5"/>
  <c r="GF48" i="5"/>
  <c r="GG48" i="5"/>
  <c r="GH48" i="5"/>
  <c r="GI48" i="5"/>
  <c r="GJ48" i="5"/>
  <c r="GK48" i="5"/>
  <c r="GL48" i="5"/>
  <c r="GM48" i="5"/>
  <c r="GN48" i="5"/>
  <c r="GO48" i="5"/>
  <c r="GP48" i="5"/>
  <c r="GQ48" i="5"/>
  <c r="GR48" i="5"/>
  <c r="GS48" i="5"/>
  <c r="GT48" i="5"/>
  <c r="GU48" i="5"/>
  <c r="GV48" i="5"/>
  <c r="GW48" i="5"/>
  <c r="GX48" i="5"/>
  <c r="GY48" i="5"/>
  <c r="GZ48" i="5"/>
  <c r="HA48" i="5"/>
  <c r="HB48" i="5"/>
  <c r="HC48" i="5"/>
  <c r="HD48" i="5"/>
  <c r="HE48" i="5"/>
  <c r="HF48" i="5"/>
  <c r="HG48" i="5"/>
  <c r="HH48" i="5"/>
  <c r="HI48" i="5"/>
  <c r="HJ48" i="5"/>
  <c r="HK48" i="5"/>
  <c r="HL48" i="5"/>
  <c r="HM48" i="5"/>
  <c r="HN48" i="5"/>
  <c r="HO48" i="5"/>
  <c r="HP48" i="5"/>
  <c r="HQ48" i="5"/>
  <c r="HR48" i="5"/>
  <c r="HS48" i="5"/>
  <c r="HT48" i="5"/>
  <c r="HU48" i="5"/>
  <c r="HV48" i="5"/>
  <c r="HW48" i="5"/>
  <c r="HX48" i="5"/>
  <c r="HY48" i="5"/>
  <c r="HZ48" i="5"/>
  <c r="IA48" i="5"/>
  <c r="IB48" i="5"/>
  <c r="IC48" i="5"/>
  <c r="ID48" i="5"/>
  <c r="IE48" i="5"/>
  <c r="IF48" i="5"/>
  <c r="IG48" i="5"/>
  <c r="IH48" i="5"/>
  <c r="II48" i="5"/>
  <c r="IJ48" i="5"/>
  <c r="IK48" i="5"/>
  <c r="IL48" i="5"/>
  <c r="IM48" i="5"/>
  <c r="IN48" i="5"/>
  <c r="IO48" i="5"/>
  <c r="IP48" i="5"/>
  <c r="IQ48" i="5"/>
  <c r="IR48" i="5"/>
  <c r="IS48" i="5"/>
  <c r="IT48" i="5"/>
  <c r="IU48" i="5"/>
  <c r="IV48" i="5"/>
  <c r="A47" i="5"/>
  <c r="B47" i="5"/>
  <c r="C47" i="5"/>
  <c r="D47" i="5"/>
  <c r="E47" i="5"/>
  <c r="F47" i="5"/>
  <c r="G47" i="5"/>
  <c r="H47" i="5"/>
  <c r="I47" i="5"/>
  <c r="J47" i="5"/>
  <c r="K47" i="5"/>
  <c r="L47" i="5"/>
  <c r="M47" i="5"/>
  <c r="N47" i="5"/>
  <c r="O47" i="5"/>
  <c r="P47" i="5"/>
  <c r="Q47" i="5"/>
  <c r="R47" i="5"/>
  <c r="S47" i="5"/>
  <c r="T47" i="5"/>
  <c r="U47" i="5"/>
  <c r="V47" i="5"/>
  <c r="W47" i="5"/>
  <c r="X47" i="5"/>
  <c r="Y47" i="5"/>
  <c r="Z47" i="5"/>
  <c r="AA47" i="5"/>
  <c r="AB47" i="5"/>
  <c r="AC47" i="5"/>
  <c r="AD47" i="5"/>
  <c r="AE47" i="5"/>
  <c r="AF47" i="5"/>
  <c r="AG47" i="5"/>
  <c r="AH47" i="5"/>
  <c r="AI47" i="5"/>
  <c r="AJ47" i="5"/>
  <c r="AK47" i="5"/>
  <c r="AL47" i="5"/>
  <c r="AM47" i="5"/>
  <c r="AN47" i="5"/>
  <c r="AO47" i="5"/>
  <c r="AP47" i="5"/>
  <c r="AQ47" i="5"/>
  <c r="AR47" i="5"/>
  <c r="AS47" i="5"/>
  <c r="AT47" i="5"/>
  <c r="AU47" i="5"/>
  <c r="AV47" i="5"/>
  <c r="AW47" i="5"/>
  <c r="AX47" i="5"/>
  <c r="AY47" i="5"/>
  <c r="AZ47" i="5"/>
  <c r="BA47" i="5"/>
  <c r="BB47" i="5"/>
  <c r="BC47" i="5"/>
  <c r="BD47" i="5"/>
  <c r="BE47" i="5"/>
  <c r="BF47" i="5"/>
  <c r="BG47" i="5"/>
  <c r="BH47" i="5"/>
  <c r="BI47" i="5"/>
  <c r="BJ47" i="5"/>
  <c r="BK47" i="5"/>
  <c r="BL47" i="5"/>
  <c r="BM47" i="5"/>
  <c r="BN47" i="5"/>
  <c r="BO47" i="5"/>
  <c r="BP47" i="5"/>
  <c r="BQ47" i="5"/>
  <c r="BR47" i="5"/>
  <c r="BS47" i="5"/>
  <c r="BT47" i="5"/>
  <c r="BU47" i="5"/>
  <c r="BV47" i="5"/>
  <c r="BW47" i="5"/>
  <c r="BX47" i="5"/>
  <c r="BY47" i="5"/>
  <c r="BZ47" i="5"/>
  <c r="CA47" i="5"/>
  <c r="CB47" i="5"/>
  <c r="CC47" i="5"/>
  <c r="CD47" i="5"/>
  <c r="CE47" i="5"/>
  <c r="CF47" i="5"/>
  <c r="CG47" i="5"/>
  <c r="CH47" i="5"/>
  <c r="CI47" i="5"/>
  <c r="CJ47" i="5"/>
  <c r="CK47" i="5"/>
  <c r="CL47" i="5"/>
  <c r="CM47" i="5"/>
  <c r="CN47" i="5"/>
  <c r="CO47" i="5"/>
  <c r="CP47" i="5"/>
  <c r="CQ47" i="5"/>
  <c r="CR47" i="5"/>
  <c r="CS47" i="5"/>
  <c r="CT47" i="5"/>
  <c r="CU47" i="5"/>
  <c r="CV47" i="5"/>
  <c r="CW47" i="5"/>
  <c r="CX47" i="5"/>
  <c r="CY47" i="5"/>
  <c r="CZ47" i="5"/>
  <c r="DA47" i="5"/>
  <c r="DB47" i="5"/>
  <c r="DC47" i="5"/>
  <c r="DD47" i="5"/>
  <c r="DE47" i="5"/>
  <c r="DF47" i="5"/>
  <c r="DG47" i="5"/>
  <c r="DH47" i="5"/>
  <c r="DI47" i="5"/>
  <c r="DJ47" i="5"/>
  <c r="DK47" i="5"/>
  <c r="DL47" i="5"/>
  <c r="DM47" i="5"/>
  <c r="DN47" i="5"/>
  <c r="DO47" i="5"/>
  <c r="DP47" i="5"/>
  <c r="DQ47" i="5"/>
  <c r="DR47" i="5"/>
  <c r="DS47" i="5"/>
  <c r="DT47" i="5"/>
  <c r="DU47" i="5"/>
  <c r="DV47" i="5"/>
  <c r="DW47" i="5"/>
  <c r="DX47" i="5"/>
  <c r="DY47" i="5"/>
  <c r="DZ47" i="5"/>
  <c r="EA47" i="5"/>
  <c r="EB47" i="5"/>
  <c r="EC47" i="5"/>
  <c r="ED47" i="5"/>
  <c r="EE47" i="5"/>
  <c r="EF47" i="5"/>
  <c r="EG47" i="5"/>
  <c r="EH47" i="5"/>
  <c r="EI47" i="5"/>
  <c r="EJ47" i="5"/>
  <c r="EK47" i="5"/>
  <c r="EL47" i="5"/>
  <c r="EM47" i="5"/>
  <c r="EN47" i="5"/>
  <c r="EO47" i="5"/>
  <c r="EP47" i="5"/>
  <c r="EQ47" i="5"/>
  <c r="ER47" i="5"/>
  <c r="ES47" i="5"/>
  <c r="ET47" i="5"/>
  <c r="EU47" i="5"/>
  <c r="EV47" i="5"/>
  <c r="EW47" i="5"/>
  <c r="EX47" i="5"/>
  <c r="EY47" i="5"/>
  <c r="EZ47" i="5"/>
  <c r="FA47" i="5"/>
  <c r="FB47" i="5"/>
  <c r="FC47" i="5"/>
  <c r="FD47" i="5"/>
  <c r="FE47" i="5"/>
  <c r="FF47" i="5"/>
  <c r="FG47" i="5"/>
  <c r="FH47" i="5"/>
  <c r="FI47" i="5"/>
  <c r="FJ47" i="5"/>
  <c r="FK47" i="5"/>
  <c r="FL47" i="5"/>
  <c r="FM47" i="5"/>
  <c r="FN47" i="5"/>
  <c r="FO47" i="5"/>
  <c r="FP47" i="5"/>
  <c r="FQ47" i="5"/>
  <c r="FR47" i="5"/>
  <c r="FS47" i="5"/>
  <c r="FT47" i="5"/>
  <c r="FU47" i="5"/>
  <c r="FV47" i="5"/>
  <c r="FW47" i="5"/>
  <c r="FX47" i="5"/>
  <c r="FY47" i="5"/>
  <c r="FZ47" i="5"/>
  <c r="GA47" i="5"/>
  <c r="GB47" i="5"/>
  <c r="GC47" i="5"/>
  <c r="GD47" i="5"/>
  <c r="GE47" i="5"/>
  <c r="GF47" i="5"/>
  <c r="GG47" i="5"/>
  <c r="GH47" i="5"/>
  <c r="GI47" i="5"/>
  <c r="GJ47" i="5"/>
  <c r="GK47" i="5"/>
  <c r="GL47" i="5"/>
  <c r="GM47" i="5"/>
  <c r="GN47" i="5"/>
  <c r="GO47" i="5"/>
  <c r="GP47" i="5"/>
  <c r="GQ47" i="5"/>
  <c r="GR47" i="5"/>
  <c r="GS47" i="5"/>
  <c r="GT47" i="5"/>
  <c r="GU47" i="5"/>
  <c r="GV47" i="5"/>
  <c r="GW47" i="5"/>
  <c r="GX47" i="5"/>
  <c r="GY47" i="5"/>
  <c r="GZ47" i="5"/>
  <c r="HA47" i="5"/>
  <c r="HB47" i="5"/>
  <c r="HC47" i="5"/>
  <c r="HD47" i="5"/>
  <c r="HE47" i="5"/>
  <c r="HF47" i="5"/>
  <c r="HG47" i="5"/>
  <c r="HH47" i="5"/>
  <c r="HI47" i="5"/>
  <c r="HJ47" i="5"/>
  <c r="HK47" i="5"/>
  <c r="HL47" i="5"/>
  <c r="HM47" i="5"/>
  <c r="HN47" i="5"/>
  <c r="HO47" i="5"/>
  <c r="HP47" i="5"/>
  <c r="HQ47" i="5"/>
  <c r="HR47" i="5"/>
  <c r="HS47" i="5"/>
  <c r="HT47" i="5"/>
  <c r="HU47" i="5"/>
  <c r="HV47" i="5"/>
  <c r="HW47" i="5"/>
  <c r="HX47" i="5"/>
  <c r="HY47" i="5"/>
  <c r="HZ47" i="5"/>
  <c r="IA47" i="5"/>
  <c r="IB47" i="5"/>
  <c r="IC47" i="5"/>
  <c r="ID47" i="5"/>
  <c r="IE47" i="5"/>
  <c r="IF47" i="5"/>
  <c r="IG47" i="5"/>
  <c r="IH47" i="5"/>
  <c r="II47" i="5"/>
  <c r="IJ47" i="5"/>
  <c r="IK47" i="5"/>
  <c r="IL47" i="5"/>
  <c r="IM47" i="5"/>
  <c r="IN47" i="5"/>
  <c r="IO47" i="5"/>
  <c r="IP47" i="5"/>
  <c r="IQ47" i="5"/>
  <c r="IR47" i="5"/>
  <c r="IS47" i="5"/>
  <c r="IT47" i="5"/>
  <c r="IU47" i="5"/>
  <c r="IV47" i="5"/>
  <c r="A46" i="5"/>
  <c r="B46" i="5"/>
  <c r="C46" i="5"/>
  <c r="D46" i="5"/>
  <c r="E46" i="5"/>
  <c r="F46" i="5"/>
  <c r="G46" i="5"/>
  <c r="H46" i="5"/>
  <c r="I46" i="5"/>
  <c r="J46" i="5"/>
  <c r="K46" i="5"/>
  <c r="L46" i="5"/>
  <c r="M46" i="5"/>
  <c r="N46" i="5"/>
  <c r="O46" i="5"/>
  <c r="P46" i="5"/>
  <c r="Q46" i="5"/>
  <c r="R46" i="5"/>
  <c r="S46" i="5"/>
  <c r="T46" i="5"/>
  <c r="U46" i="5"/>
  <c r="V46" i="5"/>
  <c r="W46" i="5"/>
  <c r="X46" i="5"/>
  <c r="Y46" i="5"/>
  <c r="Z46" i="5"/>
  <c r="AA46" i="5"/>
  <c r="AB46" i="5"/>
  <c r="AC46" i="5"/>
  <c r="AD46" i="5"/>
  <c r="AE46" i="5"/>
  <c r="AF46" i="5"/>
  <c r="AG46" i="5"/>
  <c r="AH46" i="5"/>
  <c r="AI46" i="5"/>
  <c r="AJ46" i="5"/>
  <c r="AK46" i="5"/>
  <c r="AL46" i="5"/>
  <c r="AM46" i="5"/>
  <c r="AN46" i="5"/>
  <c r="AO46" i="5"/>
  <c r="AP46" i="5"/>
  <c r="AQ46" i="5"/>
  <c r="AR46" i="5"/>
  <c r="AS46" i="5"/>
  <c r="AT46" i="5"/>
  <c r="AU46" i="5"/>
  <c r="AV46" i="5"/>
  <c r="AW46" i="5"/>
  <c r="AX46" i="5"/>
  <c r="AY46" i="5"/>
  <c r="AZ46" i="5"/>
  <c r="BA46" i="5"/>
  <c r="BB46" i="5"/>
  <c r="BC46" i="5"/>
  <c r="BD46" i="5"/>
  <c r="BE46" i="5"/>
  <c r="BF46" i="5"/>
  <c r="BG46" i="5"/>
  <c r="BH46" i="5"/>
  <c r="BI46" i="5"/>
  <c r="BJ46" i="5"/>
  <c r="BK46" i="5"/>
  <c r="BL46" i="5"/>
  <c r="BM46" i="5"/>
  <c r="BN46" i="5"/>
  <c r="BO46" i="5"/>
  <c r="BP46" i="5"/>
  <c r="BQ46" i="5"/>
  <c r="BR46" i="5"/>
  <c r="BS46" i="5"/>
  <c r="BT46" i="5"/>
  <c r="BU46" i="5"/>
  <c r="BV46" i="5"/>
  <c r="BW46" i="5"/>
  <c r="BX46" i="5"/>
  <c r="BY46" i="5"/>
  <c r="BZ46" i="5"/>
  <c r="CA46" i="5"/>
  <c r="CB46" i="5"/>
  <c r="CC46" i="5"/>
  <c r="CD46" i="5"/>
  <c r="CE46" i="5"/>
  <c r="CF46" i="5"/>
  <c r="CG46" i="5"/>
  <c r="CH46" i="5"/>
  <c r="CI46" i="5"/>
  <c r="CJ46" i="5"/>
  <c r="CK46" i="5"/>
  <c r="CL46" i="5"/>
  <c r="CM46" i="5"/>
  <c r="CN46" i="5"/>
  <c r="CO46" i="5"/>
  <c r="CP46" i="5"/>
  <c r="CQ46" i="5"/>
  <c r="CR46" i="5"/>
  <c r="CS46" i="5"/>
  <c r="CT46" i="5"/>
  <c r="CU46" i="5"/>
  <c r="CV46" i="5"/>
  <c r="CW46" i="5"/>
  <c r="CX46" i="5"/>
  <c r="CY46" i="5"/>
  <c r="CZ46" i="5"/>
  <c r="DA46" i="5"/>
  <c r="DB46" i="5"/>
  <c r="DC46" i="5"/>
  <c r="DD46" i="5"/>
  <c r="DE46" i="5"/>
  <c r="DF46" i="5"/>
  <c r="DG46" i="5"/>
  <c r="DH46" i="5"/>
  <c r="DI46" i="5"/>
  <c r="DJ46" i="5"/>
  <c r="DK46" i="5"/>
  <c r="DL46" i="5"/>
  <c r="DM46" i="5"/>
  <c r="DN46" i="5"/>
  <c r="DO46" i="5"/>
  <c r="DP46" i="5"/>
  <c r="DQ46" i="5"/>
  <c r="DR46" i="5"/>
  <c r="DS46" i="5"/>
  <c r="DT46" i="5"/>
  <c r="DU46" i="5"/>
  <c r="DV46" i="5"/>
  <c r="DW46" i="5"/>
  <c r="DX46" i="5"/>
  <c r="DY46" i="5"/>
  <c r="DZ46" i="5"/>
  <c r="EA46" i="5"/>
  <c r="EB46" i="5"/>
  <c r="EC46" i="5"/>
  <c r="ED46" i="5"/>
  <c r="EE46" i="5"/>
  <c r="EF46" i="5"/>
  <c r="EG46" i="5"/>
  <c r="EH46" i="5"/>
  <c r="EI46" i="5"/>
  <c r="EJ46" i="5"/>
  <c r="EK46" i="5"/>
  <c r="EL46" i="5"/>
  <c r="EM46" i="5"/>
  <c r="EN46" i="5"/>
  <c r="EO46" i="5"/>
  <c r="EP46" i="5"/>
  <c r="EQ46" i="5"/>
  <c r="ER46" i="5"/>
  <c r="ES46" i="5"/>
  <c r="ET46" i="5"/>
  <c r="EU46" i="5"/>
  <c r="EV46" i="5"/>
  <c r="EW46" i="5"/>
  <c r="EX46" i="5"/>
  <c r="EY46" i="5"/>
  <c r="EZ46" i="5"/>
  <c r="FA46" i="5"/>
  <c r="FB46" i="5"/>
  <c r="FC46" i="5"/>
  <c r="FD46" i="5"/>
  <c r="FE46" i="5"/>
  <c r="FF46" i="5"/>
  <c r="FG46" i="5"/>
  <c r="FH46" i="5"/>
  <c r="FI46" i="5"/>
  <c r="FJ46" i="5"/>
  <c r="FK46" i="5"/>
  <c r="FL46" i="5"/>
  <c r="FM46" i="5"/>
  <c r="FN46" i="5"/>
  <c r="FO46" i="5"/>
  <c r="FP46" i="5"/>
  <c r="FQ46" i="5"/>
  <c r="FR46" i="5"/>
  <c r="FS46" i="5"/>
  <c r="FT46" i="5"/>
  <c r="FU46" i="5"/>
  <c r="FV46" i="5"/>
  <c r="FW46" i="5"/>
  <c r="FX46" i="5"/>
  <c r="FY46" i="5"/>
  <c r="FZ46" i="5"/>
  <c r="GA46" i="5"/>
  <c r="GB46" i="5"/>
  <c r="GC46" i="5"/>
  <c r="GD46" i="5"/>
  <c r="GE46" i="5"/>
  <c r="GF46" i="5"/>
  <c r="GG46" i="5"/>
  <c r="GH46" i="5"/>
  <c r="GI46" i="5"/>
  <c r="GJ46" i="5"/>
  <c r="GK46" i="5"/>
  <c r="GL46" i="5"/>
  <c r="GM46" i="5"/>
  <c r="GN46" i="5"/>
  <c r="GO46" i="5"/>
  <c r="GP46" i="5"/>
  <c r="GQ46" i="5"/>
  <c r="GR46" i="5"/>
  <c r="GS46" i="5"/>
  <c r="GT46" i="5"/>
  <c r="GU46" i="5"/>
  <c r="GV46" i="5"/>
  <c r="GW46" i="5"/>
  <c r="GX46" i="5"/>
  <c r="GY46" i="5"/>
  <c r="GZ46" i="5"/>
  <c r="HA46" i="5"/>
  <c r="HB46" i="5"/>
  <c r="HC46" i="5"/>
  <c r="HD46" i="5"/>
  <c r="HE46" i="5"/>
  <c r="HF46" i="5"/>
  <c r="HG46" i="5"/>
  <c r="HH46" i="5"/>
  <c r="HI46" i="5"/>
  <c r="HJ46" i="5"/>
  <c r="HK46" i="5"/>
  <c r="HL46" i="5"/>
  <c r="HM46" i="5"/>
  <c r="HN46" i="5"/>
  <c r="HO46" i="5"/>
  <c r="HP46" i="5"/>
  <c r="HQ46" i="5"/>
  <c r="HR46" i="5"/>
  <c r="HS46" i="5"/>
  <c r="HT46" i="5"/>
  <c r="HU46" i="5"/>
  <c r="HV46" i="5"/>
  <c r="HW46" i="5"/>
  <c r="HX46" i="5"/>
  <c r="HY46" i="5"/>
  <c r="HZ46" i="5"/>
  <c r="IA46" i="5"/>
  <c r="IB46" i="5"/>
  <c r="IC46" i="5"/>
  <c r="ID46" i="5"/>
  <c r="IE46" i="5"/>
  <c r="IF46" i="5"/>
  <c r="IG46" i="5"/>
  <c r="IH46" i="5"/>
  <c r="II46" i="5"/>
  <c r="IJ46" i="5"/>
  <c r="IK46" i="5"/>
  <c r="IL46" i="5"/>
  <c r="IM46" i="5"/>
  <c r="IN46" i="5"/>
  <c r="IO46" i="5"/>
  <c r="IP46" i="5"/>
  <c r="IQ46" i="5"/>
  <c r="IR46" i="5"/>
  <c r="IS46" i="5"/>
  <c r="IT46" i="5"/>
  <c r="IU46" i="5"/>
  <c r="IV46" i="5"/>
  <c r="A45" i="5"/>
  <c r="B45" i="5"/>
  <c r="C45" i="5"/>
  <c r="D45" i="5"/>
  <c r="E45" i="5"/>
  <c r="F45" i="5"/>
  <c r="G45" i="5"/>
  <c r="H45" i="5"/>
  <c r="I45" i="5"/>
  <c r="J45" i="5"/>
  <c r="K45" i="5"/>
  <c r="L45" i="5"/>
  <c r="M45" i="5"/>
  <c r="N45" i="5"/>
  <c r="O45" i="5"/>
  <c r="P45" i="5"/>
  <c r="Q45" i="5"/>
  <c r="R45" i="5"/>
  <c r="S45" i="5"/>
  <c r="T45" i="5"/>
  <c r="U45" i="5"/>
  <c r="V45" i="5"/>
  <c r="W45" i="5"/>
  <c r="X45" i="5"/>
  <c r="Y45" i="5"/>
  <c r="Z45" i="5"/>
  <c r="AA45" i="5"/>
  <c r="AB45" i="5"/>
  <c r="AC45" i="5"/>
  <c r="AD45" i="5"/>
  <c r="AE45" i="5"/>
  <c r="AF45" i="5"/>
  <c r="AG45" i="5"/>
  <c r="AH45" i="5"/>
  <c r="AI45" i="5"/>
  <c r="AJ45" i="5"/>
  <c r="AK45" i="5"/>
  <c r="AL45" i="5"/>
  <c r="AM45" i="5"/>
  <c r="AN45" i="5"/>
  <c r="AO45" i="5"/>
  <c r="AP45" i="5"/>
  <c r="AQ45" i="5"/>
  <c r="AR45" i="5"/>
  <c r="AS45" i="5"/>
  <c r="AT45" i="5"/>
  <c r="AU45" i="5"/>
  <c r="AV45" i="5"/>
  <c r="AW45" i="5"/>
  <c r="AX45" i="5"/>
  <c r="AY45" i="5"/>
  <c r="AZ45" i="5"/>
  <c r="BB45" i="5"/>
  <c r="BC45" i="5"/>
  <c r="BD45" i="5"/>
  <c r="BE45" i="5"/>
  <c r="BF45" i="5"/>
  <c r="BG45" i="5"/>
  <c r="BH45" i="5"/>
  <c r="BI45" i="5"/>
  <c r="BJ45" i="5"/>
  <c r="BK45" i="5"/>
  <c r="BL45" i="5"/>
  <c r="BM45" i="5"/>
  <c r="BN45" i="5"/>
  <c r="BO45" i="5"/>
  <c r="BP45" i="5"/>
  <c r="BQ45" i="5"/>
  <c r="BR45" i="5"/>
  <c r="BS45" i="5"/>
  <c r="BT45" i="5"/>
  <c r="BU45" i="5"/>
  <c r="BV45" i="5"/>
  <c r="BW45" i="5"/>
  <c r="BX45" i="5"/>
  <c r="BY45" i="5"/>
  <c r="BZ45" i="5"/>
  <c r="CA45" i="5"/>
  <c r="CB45" i="5"/>
  <c r="CC45" i="5"/>
  <c r="CD45" i="5"/>
  <c r="CE45" i="5"/>
  <c r="CF45" i="5"/>
  <c r="CG45" i="5"/>
  <c r="CH45" i="5"/>
  <c r="CI45" i="5"/>
  <c r="CJ45" i="5"/>
  <c r="CK45" i="5"/>
  <c r="CL45" i="5"/>
  <c r="CM45" i="5"/>
  <c r="CN45" i="5"/>
  <c r="CO45" i="5"/>
  <c r="CP45" i="5"/>
  <c r="CQ45" i="5"/>
  <c r="CR45" i="5"/>
  <c r="CS45" i="5"/>
  <c r="CT45" i="5"/>
  <c r="CU45" i="5"/>
  <c r="CV45" i="5"/>
  <c r="CW45" i="5"/>
  <c r="CX45" i="5"/>
  <c r="CY45" i="5"/>
  <c r="CZ45" i="5"/>
  <c r="DA45" i="5"/>
  <c r="DB45" i="5"/>
  <c r="DC45" i="5"/>
  <c r="DD45" i="5"/>
  <c r="DE45" i="5"/>
  <c r="DF45" i="5"/>
  <c r="DG45" i="5"/>
  <c r="DH45" i="5"/>
  <c r="DI45" i="5"/>
  <c r="DJ45" i="5"/>
  <c r="DK45" i="5"/>
  <c r="DL45" i="5"/>
  <c r="DM45" i="5"/>
  <c r="DN45" i="5"/>
  <c r="DO45" i="5"/>
  <c r="DP45" i="5"/>
  <c r="DQ45" i="5"/>
  <c r="DR45" i="5"/>
  <c r="DS45" i="5"/>
  <c r="DT45" i="5"/>
  <c r="DU45" i="5"/>
  <c r="DV45" i="5"/>
  <c r="DW45" i="5"/>
  <c r="DX45" i="5"/>
  <c r="DY45" i="5"/>
  <c r="DZ45" i="5"/>
  <c r="EA45" i="5"/>
  <c r="EB45" i="5"/>
  <c r="EC45" i="5"/>
  <c r="ED45" i="5"/>
  <c r="EE45" i="5"/>
  <c r="EF45" i="5"/>
  <c r="EG45" i="5"/>
  <c r="EH45" i="5"/>
  <c r="EI45" i="5"/>
  <c r="EJ45" i="5"/>
  <c r="EK45" i="5"/>
  <c r="EL45" i="5"/>
  <c r="EM45" i="5"/>
  <c r="EN45" i="5"/>
  <c r="EO45" i="5"/>
  <c r="EP45" i="5"/>
  <c r="EQ45" i="5"/>
  <c r="ER45" i="5"/>
  <c r="ES45" i="5"/>
  <c r="ET45" i="5"/>
  <c r="EU45" i="5"/>
  <c r="EV45" i="5"/>
  <c r="EW45" i="5"/>
  <c r="EX45" i="5"/>
  <c r="EY45" i="5"/>
  <c r="EZ45" i="5"/>
  <c r="FA45" i="5"/>
  <c r="FB45" i="5"/>
  <c r="FC45" i="5"/>
  <c r="FD45" i="5"/>
  <c r="FE45" i="5"/>
  <c r="FF45" i="5"/>
  <c r="FG45" i="5"/>
  <c r="FH45" i="5"/>
  <c r="FI45" i="5"/>
  <c r="FJ45" i="5"/>
  <c r="FK45" i="5"/>
  <c r="FL45" i="5"/>
  <c r="FM45" i="5"/>
  <c r="FN45" i="5"/>
  <c r="FO45" i="5"/>
  <c r="FP45" i="5"/>
  <c r="FQ45" i="5"/>
  <c r="FR45" i="5"/>
  <c r="FS45" i="5"/>
  <c r="FT45" i="5"/>
  <c r="FU45" i="5"/>
  <c r="FV45" i="5"/>
  <c r="FW45" i="5"/>
  <c r="FX45" i="5"/>
  <c r="FY45" i="5"/>
  <c r="FZ45" i="5"/>
  <c r="GA45" i="5"/>
  <c r="GB45" i="5"/>
  <c r="GC45" i="5"/>
  <c r="GD45" i="5"/>
  <c r="GE45" i="5"/>
  <c r="GF45" i="5"/>
  <c r="GG45" i="5"/>
  <c r="GH45" i="5"/>
  <c r="GI45" i="5"/>
  <c r="GJ45" i="5"/>
  <c r="GK45" i="5"/>
  <c r="GL45" i="5"/>
  <c r="GM45" i="5"/>
  <c r="GN45" i="5"/>
  <c r="GO45" i="5"/>
  <c r="GP45" i="5"/>
  <c r="GQ45" i="5"/>
  <c r="GR45" i="5"/>
  <c r="GS45" i="5"/>
  <c r="GT45" i="5"/>
  <c r="GU45" i="5"/>
  <c r="GV45" i="5"/>
  <c r="GW45" i="5"/>
  <c r="GX45" i="5"/>
  <c r="GY45" i="5"/>
  <c r="GZ45" i="5"/>
  <c r="HA45" i="5"/>
  <c r="HB45" i="5"/>
  <c r="HC45" i="5"/>
  <c r="HD45" i="5"/>
  <c r="HE45" i="5"/>
  <c r="HF45" i="5"/>
  <c r="HG45" i="5"/>
  <c r="HH45" i="5"/>
  <c r="HI45" i="5"/>
  <c r="HJ45" i="5"/>
  <c r="HK45" i="5"/>
  <c r="HL45" i="5"/>
  <c r="HM45" i="5"/>
  <c r="HN45" i="5"/>
  <c r="HO45" i="5"/>
  <c r="HP45" i="5"/>
  <c r="HQ45" i="5"/>
  <c r="HR45" i="5"/>
  <c r="HS45" i="5"/>
  <c r="HT45" i="5"/>
  <c r="HU45" i="5"/>
  <c r="HV45" i="5"/>
  <c r="HW45" i="5"/>
  <c r="HX45" i="5"/>
  <c r="HY45" i="5"/>
  <c r="HZ45" i="5"/>
  <c r="IA45" i="5"/>
  <c r="IB45" i="5"/>
  <c r="IC45" i="5"/>
  <c r="ID45" i="5"/>
  <c r="IE45" i="5"/>
  <c r="IF45" i="5"/>
  <c r="IG45" i="5"/>
  <c r="IH45" i="5"/>
  <c r="II45" i="5"/>
  <c r="IJ45" i="5"/>
  <c r="IK45" i="5"/>
  <c r="IL45" i="5"/>
  <c r="IM45" i="5"/>
  <c r="IN45" i="5"/>
  <c r="IO45" i="5"/>
  <c r="IP45" i="5"/>
  <c r="IQ45" i="5"/>
  <c r="IR45" i="5"/>
  <c r="IS45" i="5"/>
  <c r="IT45" i="5"/>
  <c r="IU45" i="5"/>
  <c r="IV45" i="5"/>
  <c r="A44" i="5"/>
  <c r="B44" i="5"/>
  <c r="C44" i="5"/>
  <c r="D44" i="5"/>
  <c r="E44" i="5"/>
  <c r="F44" i="5"/>
  <c r="G44" i="5"/>
  <c r="H44" i="5"/>
  <c r="I44" i="5"/>
  <c r="J44" i="5"/>
  <c r="K44" i="5"/>
  <c r="L44" i="5"/>
  <c r="M44" i="5"/>
  <c r="N44" i="5"/>
  <c r="O44" i="5"/>
  <c r="P44" i="5"/>
  <c r="Q44" i="5"/>
  <c r="R44" i="5"/>
  <c r="S44" i="5"/>
  <c r="T44" i="5"/>
  <c r="U44" i="5"/>
  <c r="V44" i="5"/>
  <c r="W44" i="5"/>
  <c r="X44" i="5"/>
  <c r="Y44" i="5"/>
  <c r="Z44" i="5"/>
  <c r="AA44" i="5"/>
  <c r="AB44" i="5"/>
  <c r="AC44" i="5"/>
  <c r="AD44" i="5"/>
  <c r="AE44" i="5"/>
  <c r="AF44" i="5"/>
  <c r="AG44" i="5"/>
  <c r="AH44" i="5"/>
  <c r="AI44" i="5"/>
  <c r="AJ44" i="5"/>
  <c r="AK44" i="5"/>
  <c r="AL44" i="5"/>
  <c r="AM44" i="5"/>
  <c r="AN44" i="5"/>
  <c r="AO44" i="5"/>
  <c r="AP44" i="5"/>
  <c r="AQ44" i="5"/>
  <c r="AR44" i="5"/>
  <c r="AS44" i="5"/>
  <c r="AT44" i="5"/>
  <c r="AU44" i="5"/>
  <c r="AV44" i="5"/>
  <c r="AW44" i="5"/>
  <c r="AX44" i="5"/>
  <c r="AY44" i="5"/>
  <c r="AZ44" i="5"/>
  <c r="BA44" i="5"/>
  <c r="BB44" i="5"/>
  <c r="BC44" i="5"/>
  <c r="BD44" i="5"/>
  <c r="BE44" i="5"/>
  <c r="BF44" i="5"/>
  <c r="BG44" i="5"/>
  <c r="BH44" i="5"/>
  <c r="BI44" i="5"/>
  <c r="BJ44" i="5"/>
  <c r="BK44" i="5"/>
  <c r="BL44" i="5"/>
  <c r="BM44" i="5"/>
  <c r="BN44" i="5"/>
  <c r="BO44" i="5"/>
  <c r="BP44" i="5"/>
  <c r="BQ44" i="5"/>
  <c r="BR44" i="5"/>
  <c r="BS44" i="5"/>
  <c r="BT44" i="5"/>
  <c r="BU44" i="5"/>
  <c r="BV44" i="5"/>
  <c r="BW44" i="5"/>
  <c r="BX44" i="5"/>
  <c r="BY44" i="5"/>
  <c r="BZ44" i="5"/>
  <c r="CA44" i="5"/>
  <c r="CB44" i="5"/>
  <c r="CC44" i="5"/>
  <c r="CD44" i="5"/>
  <c r="CE44" i="5"/>
  <c r="CF44" i="5"/>
  <c r="CG44" i="5"/>
  <c r="CH44" i="5"/>
  <c r="CI44" i="5"/>
  <c r="CJ44" i="5"/>
  <c r="CK44" i="5"/>
  <c r="CL44" i="5"/>
  <c r="CM44" i="5"/>
  <c r="CN44" i="5"/>
  <c r="CO44" i="5"/>
  <c r="CP44" i="5"/>
  <c r="CQ44" i="5"/>
  <c r="CR44" i="5"/>
  <c r="CS44" i="5"/>
  <c r="CT44" i="5"/>
  <c r="CU44" i="5"/>
  <c r="CV44" i="5"/>
  <c r="CW44" i="5"/>
  <c r="CX44" i="5"/>
  <c r="CY44" i="5"/>
  <c r="CZ44" i="5"/>
  <c r="DA44" i="5"/>
  <c r="DB44" i="5"/>
  <c r="DC44" i="5"/>
  <c r="DD44" i="5"/>
  <c r="DE44" i="5"/>
  <c r="DF44" i="5"/>
  <c r="DG44" i="5"/>
  <c r="DH44" i="5"/>
  <c r="DI44" i="5"/>
  <c r="DJ44" i="5"/>
  <c r="DK44" i="5"/>
  <c r="DL44" i="5"/>
  <c r="DM44" i="5"/>
  <c r="DN44" i="5"/>
  <c r="DO44" i="5"/>
  <c r="DP44" i="5"/>
  <c r="DQ44" i="5"/>
  <c r="DR44" i="5"/>
  <c r="DS44" i="5"/>
  <c r="DT44" i="5"/>
  <c r="DU44" i="5"/>
  <c r="DV44" i="5"/>
  <c r="DW44" i="5"/>
  <c r="DX44" i="5"/>
  <c r="DY44" i="5"/>
  <c r="DZ44" i="5"/>
  <c r="EA44" i="5"/>
  <c r="EB44" i="5"/>
  <c r="EC44" i="5"/>
  <c r="ED44" i="5"/>
  <c r="EE44" i="5"/>
  <c r="EF44" i="5"/>
  <c r="EG44" i="5"/>
  <c r="EH44" i="5"/>
  <c r="EI44" i="5"/>
  <c r="EJ44" i="5"/>
  <c r="EK44" i="5"/>
  <c r="EL44" i="5"/>
  <c r="EM44" i="5"/>
  <c r="EN44" i="5"/>
  <c r="EO44" i="5"/>
  <c r="EP44" i="5"/>
  <c r="EQ44" i="5"/>
  <c r="ER44" i="5"/>
  <c r="ES44" i="5"/>
  <c r="ET44" i="5"/>
  <c r="EU44" i="5"/>
  <c r="EV44" i="5"/>
  <c r="EW44" i="5"/>
  <c r="EX44" i="5"/>
  <c r="EY44" i="5"/>
  <c r="EZ44" i="5"/>
  <c r="FA44" i="5"/>
  <c r="FB44" i="5"/>
  <c r="FC44" i="5"/>
  <c r="FD44" i="5"/>
  <c r="FE44" i="5"/>
  <c r="FF44" i="5"/>
  <c r="FG44" i="5"/>
  <c r="FH44" i="5"/>
  <c r="FI44" i="5"/>
  <c r="FJ44" i="5"/>
  <c r="FK44" i="5"/>
  <c r="FL44" i="5"/>
  <c r="FM44" i="5"/>
  <c r="FN44" i="5"/>
  <c r="FO44" i="5"/>
  <c r="FP44" i="5"/>
  <c r="FQ44" i="5"/>
  <c r="FR44" i="5"/>
  <c r="FS44" i="5"/>
  <c r="FT44" i="5"/>
  <c r="FU44" i="5"/>
  <c r="FV44" i="5"/>
  <c r="FW44" i="5"/>
  <c r="FX44" i="5"/>
  <c r="FY44" i="5"/>
  <c r="FZ44" i="5"/>
  <c r="GA44" i="5"/>
  <c r="GB44" i="5"/>
  <c r="GC44" i="5"/>
  <c r="GD44" i="5"/>
  <c r="GE44" i="5"/>
  <c r="GF44" i="5"/>
  <c r="GG44" i="5"/>
  <c r="GH44" i="5"/>
  <c r="GI44" i="5"/>
  <c r="GJ44" i="5"/>
  <c r="GK44" i="5"/>
  <c r="GL44" i="5"/>
  <c r="GM44" i="5"/>
  <c r="GN44" i="5"/>
  <c r="GO44" i="5"/>
  <c r="GP44" i="5"/>
  <c r="GQ44" i="5"/>
  <c r="GR44" i="5"/>
  <c r="GS44" i="5"/>
  <c r="GT44" i="5"/>
  <c r="GU44" i="5"/>
  <c r="GV44" i="5"/>
  <c r="GW44" i="5"/>
  <c r="GX44" i="5"/>
  <c r="GY44" i="5"/>
  <c r="GZ44" i="5"/>
  <c r="HA44" i="5"/>
  <c r="HB44" i="5"/>
  <c r="HC44" i="5"/>
  <c r="HD44" i="5"/>
  <c r="HE44" i="5"/>
  <c r="HF44" i="5"/>
  <c r="HG44" i="5"/>
  <c r="HH44" i="5"/>
  <c r="HI44" i="5"/>
  <c r="HJ44" i="5"/>
  <c r="HK44" i="5"/>
  <c r="HL44" i="5"/>
  <c r="HM44" i="5"/>
  <c r="HN44" i="5"/>
  <c r="HO44" i="5"/>
  <c r="HP44" i="5"/>
  <c r="HQ44" i="5"/>
  <c r="HR44" i="5"/>
  <c r="HS44" i="5"/>
  <c r="HT44" i="5"/>
  <c r="HU44" i="5"/>
  <c r="HV44" i="5"/>
  <c r="HW44" i="5"/>
  <c r="HX44" i="5"/>
  <c r="HY44" i="5"/>
  <c r="HZ44" i="5"/>
  <c r="IA44" i="5"/>
  <c r="IB44" i="5"/>
  <c r="IC44" i="5"/>
  <c r="ID44" i="5"/>
  <c r="IE44" i="5"/>
  <c r="IF44" i="5"/>
  <c r="IG44" i="5"/>
  <c r="IH44" i="5"/>
  <c r="II44" i="5"/>
  <c r="IJ44" i="5"/>
  <c r="IK44" i="5"/>
  <c r="IL44" i="5"/>
  <c r="IM44" i="5"/>
  <c r="IN44" i="5"/>
  <c r="IO44" i="5"/>
  <c r="IP44" i="5"/>
  <c r="IQ44" i="5"/>
  <c r="IR44" i="5"/>
  <c r="IS44" i="5"/>
  <c r="IT44" i="5"/>
  <c r="IU44" i="5"/>
  <c r="IV44" i="5"/>
  <c r="A43" i="5"/>
  <c r="B43" i="5"/>
  <c r="C43" i="5"/>
  <c r="D43" i="5"/>
  <c r="E43" i="5"/>
  <c r="F43" i="5"/>
  <c r="G43" i="5"/>
  <c r="H43" i="5"/>
  <c r="I43" i="5"/>
  <c r="J43" i="5"/>
  <c r="K43" i="5"/>
  <c r="L43" i="5"/>
  <c r="N43" i="5"/>
  <c r="O43" i="5"/>
  <c r="P43" i="5"/>
  <c r="Q43" i="5"/>
  <c r="R43" i="5"/>
  <c r="S43" i="5"/>
  <c r="T43" i="5"/>
  <c r="U43" i="5"/>
  <c r="V43" i="5"/>
  <c r="W43" i="5"/>
  <c r="X43" i="5"/>
  <c r="Y43" i="5"/>
  <c r="Z43" i="5"/>
  <c r="AA43" i="5"/>
  <c r="AB43" i="5"/>
  <c r="AC43" i="5"/>
  <c r="AD43" i="5"/>
  <c r="AE43" i="5"/>
  <c r="AF43" i="5"/>
  <c r="AG43" i="5"/>
  <c r="AH43" i="5"/>
  <c r="AI43" i="5"/>
  <c r="AJ43" i="5"/>
  <c r="AK43" i="5"/>
  <c r="AL43" i="5"/>
  <c r="AM43" i="5"/>
  <c r="AN43" i="5"/>
  <c r="AO43" i="5"/>
  <c r="AP43" i="5"/>
  <c r="AQ43" i="5"/>
  <c r="AR43" i="5"/>
  <c r="AS43" i="5"/>
  <c r="AT43" i="5"/>
  <c r="AU43" i="5"/>
  <c r="AV43" i="5"/>
  <c r="AW43" i="5"/>
  <c r="AX43" i="5"/>
  <c r="AY43" i="5"/>
  <c r="AZ43" i="5"/>
  <c r="BA43" i="5"/>
  <c r="BB43" i="5"/>
  <c r="BC43" i="5"/>
  <c r="BD43" i="5"/>
  <c r="BE43" i="5"/>
  <c r="BF43" i="5"/>
  <c r="BG43" i="5"/>
  <c r="BH43" i="5"/>
  <c r="BI43" i="5"/>
  <c r="BJ43" i="5"/>
  <c r="BK43" i="5"/>
  <c r="BL43" i="5"/>
  <c r="BM43" i="5"/>
  <c r="BN43" i="5"/>
  <c r="BO43" i="5"/>
  <c r="BP43" i="5"/>
  <c r="BQ43" i="5"/>
  <c r="BR43" i="5"/>
  <c r="BS43" i="5"/>
  <c r="BT43" i="5"/>
  <c r="BU43" i="5"/>
  <c r="BV43" i="5"/>
  <c r="BW43" i="5"/>
  <c r="BX43" i="5"/>
  <c r="BY43" i="5"/>
  <c r="BZ43" i="5"/>
  <c r="CA43" i="5"/>
  <c r="CB43" i="5"/>
  <c r="CC43" i="5"/>
  <c r="CD43" i="5"/>
  <c r="CE43" i="5"/>
  <c r="CF43" i="5"/>
  <c r="CG43" i="5"/>
  <c r="CH43" i="5"/>
  <c r="CI43" i="5"/>
  <c r="CJ43" i="5"/>
  <c r="CK43" i="5"/>
  <c r="CL43" i="5"/>
  <c r="CM43" i="5"/>
  <c r="CN43" i="5"/>
  <c r="CO43" i="5"/>
  <c r="CP43" i="5"/>
  <c r="CQ43" i="5"/>
  <c r="CR43" i="5"/>
  <c r="CS43" i="5"/>
  <c r="CT43" i="5"/>
  <c r="CU43" i="5"/>
  <c r="CV43" i="5"/>
  <c r="CW43" i="5"/>
  <c r="CX43" i="5"/>
  <c r="CY43" i="5"/>
  <c r="CZ43" i="5"/>
  <c r="DA43" i="5"/>
  <c r="DB43" i="5"/>
  <c r="DC43" i="5"/>
  <c r="DD43" i="5"/>
  <c r="DE43" i="5"/>
  <c r="DF43" i="5"/>
  <c r="DG43" i="5"/>
  <c r="DH43" i="5"/>
  <c r="DI43" i="5"/>
  <c r="DJ43" i="5"/>
  <c r="DK43" i="5"/>
  <c r="DL43" i="5"/>
  <c r="DM43" i="5"/>
  <c r="DN43" i="5"/>
  <c r="DO43" i="5"/>
  <c r="DP43" i="5"/>
  <c r="DQ43" i="5"/>
  <c r="DR43" i="5"/>
  <c r="DS43" i="5"/>
  <c r="DT43" i="5"/>
  <c r="DU43" i="5"/>
  <c r="DV43" i="5"/>
  <c r="DW43" i="5"/>
  <c r="DX43" i="5"/>
  <c r="DY43" i="5"/>
  <c r="DZ43" i="5"/>
  <c r="EA43" i="5"/>
  <c r="EB43" i="5"/>
  <c r="EC43" i="5"/>
  <c r="ED43" i="5"/>
  <c r="EE43" i="5"/>
  <c r="EF43" i="5"/>
  <c r="EG43" i="5"/>
  <c r="EH43" i="5"/>
  <c r="EI43" i="5"/>
  <c r="EJ43" i="5"/>
  <c r="EK43" i="5"/>
  <c r="EL43" i="5"/>
  <c r="EM43" i="5"/>
  <c r="EN43" i="5"/>
  <c r="EO43" i="5"/>
  <c r="EP43" i="5"/>
  <c r="EQ43" i="5"/>
  <c r="ER43" i="5"/>
  <c r="ES43" i="5"/>
  <c r="ET43" i="5"/>
  <c r="EU43" i="5"/>
  <c r="EV43" i="5"/>
  <c r="EW43" i="5"/>
  <c r="EX43" i="5"/>
  <c r="EY43" i="5"/>
  <c r="EZ43" i="5"/>
  <c r="FA43" i="5"/>
  <c r="FB43" i="5"/>
  <c r="FC43" i="5"/>
  <c r="FD43" i="5"/>
  <c r="FE43" i="5"/>
  <c r="FF43" i="5"/>
  <c r="FG43" i="5"/>
  <c r="FH43" i="5"/>
  <c r="FI43" i="5"/>
  <c r="FJ43" i="5"/>
  <c r="FK43" i="5"/>
  <c r="FL43" i="5"/>
  <c r="FM43" i="5"/>
  <c r="FN43" i="5"/>
  <c r="FO43" i="5"/>
  <c r="FP43" i="5"/>
  <c r="FQ43" i="5"/>
  <c r="FR43" i="5"/>
  <c r="FS43" i="5"/>
  <c r="FT43" i="5"/>
  <c r="FU43" i="5"/>
  <c r="FV43" i="5"/>
  <c r="FW43" i="5"/>
  <c r="FX43" i="5"/>
  <c r="FY43" i="5"/>
  <c r="FZ43" i="5"/>
  <c r="GA43" i="5"/>
  <c r="GB43" i="5"/>
  <c r="GC43" i="5"/>
  <c r="GD43" i="5"/>
  <c r="GE43" i="5"/>
  <c r="GF43" i="5"/>
  <c r="GG43" i="5"/>
  <c r="GH43" i="5"/>
  <c r="GI43" i="5"/>
  <c r="GJ43" i="5"/>
  <c r="GK43" i="5"/>
  <c r="GL43" i="5"/>
  <c r="GM43" i="5"/>
  <c r="GN43" i="5"/>
  <c r="GO43" i="5"/>
  <c r="GP43" i="5"/>
  <c r="GQ43" i="5"/>
  <c r="GR43" i="5"/>
  <c r="GS43" i="5"/>
  <c r="GT43" i="5"/>
  <c r="GU43" i="5"/>
  <c r="GV43" i="5"/>
  <c r="GW43" i="5"/>
  <c r="GX43" i="5"/>
  <c r="GY43" i="5"/>
  <c r="GZ43" i="5"/>
  <c r="HA43" i="5"/>
  <c r="HB43" i="5"/>
  <c r="HC43" i="5"/>
  <c r="HD43" i="5"/>
  <c r="HE43" i="5"/>
  <c r="HF43" i="5"/>
  <c r="HG43" i="5"/>
  <c r="HH43" i="5"/>
  <c r="HI43" i="5"/>
  <c r="HJ43" i="5"/>
  <c r="HK43" i="5"/>
  <c r="HL43" i="5"/>
  <c r="HM43" i="5"/>
  <c r="HN43" i="5"/>
  <c r="HO43" i="5"/>
  <c r="HP43" i="5"/>
  <c r="HQ43" i="5"/>
  <c r="HR43" i="5"/>
  <c r="HS43" i="5"/>
  <c r="HT43" i="5"/>
  <c r="HU43" i="5"/>
  <c r="HV43" i="5"/>
  <c r="HW43" i="5"/>
  <c r="HX43" i="5"/>
  <c r="HY43" i="5"/>
  <c r="HZ43" i="5"/>
  <c r="IA43" i="5"/>
  <c r="IB43" i="5"/>
  <c r="IC43" i="5"/>
  <c r="ID43" i="5"/>
  <c r="IE43" i="5"/>
  <c r="IF43" i="5"/>
  <c r="IG43" i="5"/>
  <c r="IH43" i="5"/>
  <c r="II43" i="5"/>
  <c r="IJ43" i="5"/>
  <c r="IK43" i="5"/>
  <c r="IL43" i="5"/>
  <c r="IM43" i="5"/>
  <c r="IN43" i="5"/>
  <c r="IO43" i="5"/>
  <c r="IP43" i="5"/>
  <c r="IQ43" i="5"/>
  <c r="IR43" i="5"/>
  <c r="IS43" i="5"/>
  <c r="IT43" i="5"/>
  <c r="IU43" i="5"/>
  <c r="IV43" i="5"/>
  <c r="A42" i="5"/>
  <c r="B42" i="5"/>
  <c r="C42" i="5"/>
  <c r="D42" i="5"/>
  <c r="E42" i="5"/>
  <c r="F42" i="5"/>
  <c r="G42" i="5"/>
  <c r="H42" i="5"/>
  <c r="I42" i="5"/>
  <c r="J42" i="5"/>
  <c r="K42" i="5"/>
  <c r="L42" i="5"/>
  <c r="M42" i="5"/>
  <c r="N42" i="5"/>
  <c r="O42" i="5"/>
  <c r="P42" i="5"/>
  <c r="Q42" i="5"/>
  <c r="R42" i="5"/>
  <c r="S42" i="5"/>
  <c r="T42" i="5"/>
  <c r="U42" i="5"/>
  <c r="V42" i="5"/>
  <c r="W42" i="5"/>
  <c r="X42" i="5"/>
  <c r="Y42" i="5"/>
  <c r="Z42" i="5"/>
  <c r="AA42" i="5"/>
  <c r="AB42" i="5"/>
  <c r="AC42" i="5"/>
  <c r="AD42" i="5"/>
  <c r="AE42" i="5"/>
  <c r="AF42" i="5"/>
  <c r="AG42" i="5"/>
  <c r="AH42" i="5"/>
  <c r="AI42" i="5"/>
  <c r="AJ42" i="5"/>
  <c r="AK42" i="5"/>
  <c r="AL42" i="5"/>
  <c r="AM42" i="5"/>
  <c r="AN42" i="5"/>
  <c r="AO42" i="5"/>
  <c r="AP42" i="5"/>
  <c r="AQ42" i="5"/>
  <c r="AR42" i="5"/>
  <c r="AS42" i="5"/>
  <c r="AT42" i="5"/>
  <c r="AU42" i="5"/>
  <c r="AV42" i="5"/>
  <c r="AW42" i="5"/>
  <c r="AX42" i="5"/>
  <c r="AY42" i="5"/>
  <c r="AZ42" i="5"/>
  <c r="BA42" i="5"/>
  <c r="BB42" i="5"/>
  <c r="BC42" i="5"/>
  <c r="BD42" i="5"/>
  <c r="BE42" i="5"/>
  <c r="BF42" i="5"/>
  <c r="BG42" i="5"/>
  <c r="BH42" i="5"/>
  <c r="BI42" i="5"/>
  <c r="BJ42" i="5"/>
  <c r="BK42" i="5"/>
  <c r="BL42" i="5"/>
  <c r="BM42" i="5"/>
  <c r="BN42" i="5"/>
  <c r="BO42" i="5"/>
  <c r="BP42" i="5"/>
  <c r="BQ42" i="5"/>
  <c r="BR42" i="5"/>
  <c r="BS42" i="5"/>
  <c r="BT42" i="5"/>
  <c r="BU42" i="5"/>
  <c r="BV42" i="5"/>
  <c r="BW42" i="5"/>
  <c r="BX42" i="5"/>
  <c r="BY42" i="5"/>
  <c r="BZ42" i="5"/>
  <c r="CA42" i="5"/>
  <c r="CB42" i="5"/>
  <c r="CC42" i="5"/>
  <c r="CD42" i="5"/>
  <c r="CE42" i="5"/>
  <c r="CF42" i="5"/>
  <c r="CG42" i="5"/>
  <c r="CH42" i="5"/>
  <c r="CI42" i="5"/>
  <c r="CJ42" i="5"/>
  <c r="CK42" i="5"/>
  <c r="CL42" i="5"/>
  <c r="CM42" i="5"/>
  <c r="CN42" i="5"/>
  <c r="CO42" i="5"/>
  <c r="CP42" i="5"/>
  <c r="CQ42" i="5"/>
  <c r="CR42" i="5"/>
  <c r="CS42" i="5"/>
  <c r="CT42" i="5"/>
  <c r="CU42" i="5"/>
  <c r="CV42" i="5"/>
  <c r="CW42" i="5"/>
  <c r="CX42" i="5"/>
  <c r="CY42" i="5"/>
  <c r="CZ42" i="5"/>
  <c r="DA42" i="5"/>
  <c r="DB42" i="5"/>
  <c r="DC42" i="5"/>
  <c r="DD42" i="5"/>
  <c r="DE42" i="5"/>
  <c r="DF42" i="5"/>
  <c r="DG42" i="5"/>
  <c r="DH42" i="5"/>
  <c r="DI42" i="5"/>
  <c r="DJ42" i="5"/>
  <c r="DK42" i="5"/>
  <c r="DL42" i="5"/>
  <c r="DM42" i="5"/>
  <c r="DN42" i="5"/>
  <c r="DO42" i="5"/>
  <c r="DP42" i="5"/>
  <c r="DQ42" i="5"/>
  <c r="DR42" i="5"/>
  <c r="DS42" i="5"/>
  <c r="DT42" i="5"/>
  <c r="DU42" i="5"/>
  <c r="DV42" i="5"/>
  <c r="DW42" i="5"/>
  <c r="DX42" i="5"/>
  <c r="DY42" i="5"/>
  <c r="DZ42" i="5"/>
  <c r="EA42" i="5"/>
  <c r="EB42" i="5"/>
  <c r="EC42" i="5"/>
  <c r="ED42" i="5"/>
  <c r="EE42" i="5"/>
  <c r="EF42" i="5"/>
  <c r="EG42" i="5"/>
  <c r="EH42" i="5"/>
  <c r="EI42" i="5"/>
  <c r="EJ42" i="5"/>
  <c r="EK42" i="5"/>
  <c r="EL42" i="5"/>
  <c r="EM42" i="5"/>
  <c r="EN42" i="5"/>
  <c r="EO42" i="5"/>
  <c r="EP42" i="5"/>
  <c r="EQ42" i="5"/>
  <c r="ER42" i="5"/>
  <c r="ES42" i="5"/>
  <c r="ET42" i="5"/>
  <c r="EU42" i="5"/>
  <c r="EV42" i="5"/>
  <c r="EW42" i="5"/>
  <c r="EX42" i="5"/>
  <c r="EY42" i="5"/>
  <c r="EZ42" i="5"/>
  <c r="FA42" i="5"/>
  <c r="FB42" i="5"/>
  <c r="FC42" i="5"/>
  <c r="FD42" i="5"/>
  <c r="FE42" i="5"/>
  <c r="FF42" i="5"/>
  <c r="FG42" i="5"/>
  <c r="FH42" i="5"/>
  <c r="FI42" i="5"/>
  <c r="FJ42" i="5"/>
  <c r="FK42" i="5"/>
  <c r="FL42" i="5"/>
  <c r="FM42" i="5"/>
  <c r="FN42" i="5"/>
  <c r="FO42" i="5"/>
  <c r="FP42" i="5"/>
  <c r="FQ42" i="5"/>
  <c r="FR42" i="5"/>
  <c r="FS42" i="5"/>
  <c r="FT42" i="5"/>
  <c r="FU42" i="5"/>
  <c r="FV42" i="5"/>
  <c r="FW42" i="5"/>
  <c r="FX42" i="5"/>
  <c r="FY42" i="5"/>
  <c r="FZ42" i="5"/>
  <c r="GA42" i="5"/>
  <c r="GB42" i="5"/>
  <c r="GC42" i="5"/>
  <c r="GD42" i="5"/>
  <c r="GE42" i="5"/>
  <c r="GF42" i="5"/>
  <c r="GG42" i="5"/>
  <c r="GH42" i="5"/>
  <c r="GI42" i="5"/>
  <c r="GJ42" i="5"/>
  <c r="GK42" i="5"/>
  <c r="GL42" i="5"/>
  <c r="GM42" i="5"/>
  <c r="GN42" i="5"/>
  <c r="GO42" i="5"/>
  <c r="GP42" i="5"/>
  <c r="GQ42" i="5"/>
  <c r="GR42" i="5"/>
  <c r="GS42" i="5"/>
  <c r="GT42" i="5"/>
  <c r="GU42" i="5"/>
  <c r="GV42" i="5"/>
  <c r="GW42" i="5"/>
  <c r="GX42" i="5"/>
  <c r="GY42" i="5"/>
  <c r="GZ42" i="5"/>
  <c r="HA42" i="5"/>
  <c r="HB42" i="5"/>
  <c r="HC42" i="5"/>
  <c r="HD42" i="5"/>
  <c r="HE42" i="5"/>
  <c r="HF42" i="5"/>
  <c r="HG42" i="5"/>
  <c r="HH42" i="5"/>
  <c r="HI42" i="5"/>
  <c r="HJ42" i="5"/>
  <c r="HK42" i="5"/>
  <c r="HL42" i="5"/>
  <c r="HM42" i="5"/>
  <c r="HN42" i="5"/>
  <c r="HO42" i="5"/>
  <c r="HP42" i="5"/>
  <c r="HQ42" i="5"/>
  <c r="HR42" i="5"/>
  <c r="HS42" i="5"/>
  <c r="HT42" i="5"/>
  <c r="HU42" i="5"/>
  <c r="HV42" i="5"/>
  <c r="HW42" i="5"/>
  <c r="HX42" i="5"/>
  <c r="HY42" i="5"/>
  <c r="HZ42" i="5"/>
  <c r="IA42" i="5"/>
  <c r="IB42" i="5"/>
  <c r="IC42" i="5"/>
  <c r="ID42" i="5"/>
  <c r="IE42" i="5"/>
  <c r="IF42" i="5"/>
  <c r="IG42" i="5"/>
  <c r="IH42" i="5"/>
  <c r="II42" i="5"/>
  <c r="IJ42" i="5"/>
  <c r="IK42" i="5"/>
  <c r="IL42" i="5"/>
  <c r="IM42" i="5"/>
  <c r="IN42" i="5"/>
  <c r="IO42" i="5"/>
  <c r="IP42" i="5"/>
  <c r="IQ42" i="5"/>
  <c r="IR42" i="5"/>
  <c r="IS42" i="5"/>
  <c r="IT42" i="5"/>
  <c r="IU42" i="5"/>
  <c r="IV42" i="5"/>
  <c r="A41" i="5"/>
  <c r="B41" i="5"/>
  <c r="C41" i="5"/>
  <c r="D41" i="5"/>
  <c r="E41" i="5"/>
  <c r="F41" i="5"/>
  <c r="G41" i="5"/>
  <c r="H41" i="5"/>
  <c r="I41" i="5"/>
  <c r="J41" i="5"/>
  <c r="K41" i="5"/>
  <c r="L41" i="5"/>
  <c r="M41" i="5"/>
  <c r="N41" i="5"/>
  <c r="O41" i="5"/>
  <c r="P41" i="5"/>
  <c r="Q41" i="5"/>
  <c r="R41" i="5"/>
  <c r="S41" i="5"/>
  <c r="T41" i="5"/>
  <c r="U41" i="5"/>
  <c r="V41" i="5"/>
  <c r="W41" i="5"/>
  <c r="X41" i="5"/>
  <c r="Y41" i="5"/>
  <c r="Z41" i="5"/>
  <c r="AA41" i="5"/>
  <c r="AB41" i="5"/>
  <c r="AC41" i="5"/>
  <c r="AD41" i="5"/>
  <c r="AE41" i="5"/>
  <c r="AF41" i="5"/>
  <c r="AG41" i="5"/>
  <c r="AH41" i="5"/>
  <c r="AI41" i="5"/>
  <c r="AJ41" i="5"/>
  <c r="AK41" i="5"/>
  <c r="AL41" i="5"/>
  <c r="AM41" i="5"/>
  <c r="AN41" i="5"/>
  <c r="AO41" i="5"/>
  <c r="AP41" i="5"/>
  <c r="AQ41" i="5"/>
  <c r="AR41" i="5"/>
  <c r="AS41" i="5"/>
  <c r="AT41" i="5"/>
  <c r="AU41" i="5"/>
  <c r="AV41" i="5"/>
  <c r="AW41" i="5"/>
  <c r="AX41" i="5"/>
  <c r="AY41" i="5"/>
  <c r="AZ41" i="5"/>
  <c r="BA41" i="5"/>
  <c r="BB41" i="5"/>
  <c r="BC41" i="5"/>
  <c r="BD41" i="5"/>
  <c r="BE41" i="5"/>
  <c r="BF41" i="5"/>
  <c r="BG41" i="5"/>
  <c r="BH41" i="5"/>
  <c r="BI41" i="5"/>
  <c r="BJ41" i="5"/>
  <c r="BK41" i="5"/>
  <c r="BL41" i="5"/>
  <c r="BM41" i="5"/>
  <c r="BN41" i="5"/>
  <c r="BO41" i="5"/>
  <c r="BP41" i="5"/>
  <c r="BQ41" i="5"/>
  <c r="BR41" i="5"/>
  <c r="BS41" i="5"/>
  <c r="BT41" i="5"/>
  <c r="BU41" i="5"/>
  <c r="BV41" i="5"/>
  <c r="BW41" i="5"/>
  <c r="BX41" i="5"/>
  <c r="BY41" i="5"/>
  <c r="BZ41" i="5"/>
  <c r="CA41" i="5"/>
  <c r="CB41" i="5"/>
  <c r="CC41" i="5"/>
  <c r="CD41" i="5"/>
  <c r="CE41" i="5"/>
  <c r="CF41" i="5"/>
  <c r="CG41" i="5"/>
  <c r="CH41" i="5"/>
  <c r="CI41" i="5"/>
  <c r="CJ41" i="5"/>
  <c r="CK41" i="5"/>
  <c r="CL41" i="5"/>
  <c r="CM41" i="5"/>
  <c r="CN41" i="5"/>
  <c r="CO41" i="5"/>
  <c r="CP41" i="5"/>
  <c r="CQ41" i="5"/>
  <c r="CR41" i="5"/>
  <c r="CS41" i="5"/>
  <c r="CT41" i="5"/>
  <c r="CU41" i="5"/>
  <c r="CV41" i="5"/>
  <c r="CW41" i="5"/>
  <c r="CX41" i="5"/>
  <c r="CY41" i="5"/>
  <c r="CZ41" i="5"/>
  <c r="DA41" i="5"/>
  <c r="DB41" i="5"/>
  <c r="DC41" i="5"/>
  <c r="DD41" i="5"/>
  <c r="DE41" i="5"/>
  <c r="DF41" i="5"/>
  <c r="DG41" i="5"/>
  <c r="DH41" i="5"/>
  <c r="DI41" i="5"/>
  <c r="DJ41" i="5"/>
  <c r="DK41" i="5"/>
  <c r="DL41" i="5"/>
  <c r="DM41" i="5"/>
  <c r="DN41" i="5"/>
  <c r="DO41" i="5"/>
  <c r="DP41" i="5"/>
  <c r="DQ41" i="5"/>
  <c r="DR41" i="5"/>
  <c r="DS41" i="5"/>
  <c r="DT41" i="5"/>
  <c r="DU41" i="5"/>
  <c r="DV41" i="5"/>
  <c r="DW41" i="5"/>
  <c r="DX41" i="5"/>
  <c r="DY41" i="5"/>
  <c r="DZ41" i="5"/>
  <c r="EA41" i="5"/>
  <c r="EB41" i="5"/>
  <c r="EC41" i="5"/>
  <c r="ED41" i="5"/>
  <c r="EE41" i="5"/>
  <c r="EF41" i="5"/>
  <c r="EG41" i="5"/>
  <c r="EH41" i="5"/>
  <c r="EI41" i="5"/>
  <c r="EJ41" i="5"/>
  <c r="EK41" i="5"/>
  <c r="EL41" i="5"/>
  <c r="EM41" i="5"/>
  <c r="EN41" i="5"/>
  <c r="EO41" i="5"/>
  <c r="EP41" i="5"/>
  <c r="EQ41" i="5"/>
  <c r="ER41" i="5"/>
  <c r="ES41" i="5"/>
  <c r="ET41" i="5"/>
  <c r="EU41" i="5"/>
  <c r="EV41" i="5"/>
  <c r="EW41" i="5"/>
  <c r="EX41" i="5"/>
  <c r="EY41" i="5"/>
  <c r="EZ41" i="5"/>
  <c r="FA41" i="5"/>
  <c r="FB41" i="5"/>
  <c r="FC41" i="5"/>
  <c r="FD41" i="5"/>
  <c r="FE41" i="5"/>
  <c r="FF41" i="5"/>
  <c r="FG41" i="5"/>
  <c r="FH41" i="5"/>
  <c r="FI41" i="5"/>
  <c r="FJ41" i="5"/>
  <c r="FK41" i="5"/>
  <c r="FL41" i="5"/>
  <c r="FM41" i="5"/>
  <c r="FN41" i="5"/>
  <c r="FO41" i="5"/>
  <c r="FP41" i="5"/>
  <c r="FQ41" i="5"/>
  <c r="FR41" i="5"/>
  <c r="FS41" i="5"/>
  <c r="FT41" i="5"/>
  <c r="FU41" i="5"/>
  <c r="FV41" i="5"/>
  <c r="FW41" i="5"/>
  <c r="FX41" i="5"/>
  <c r="FY41" i="5"/>
  <c r="FZ41" i="5"/>
  <c r="GA41" i="5"/>
  <c r="GB41" i="5"/>
  <c r="GC41" i="5"/>
  <c r="GD41" i="5"/>
  <c r="GE41" i="5"/>
  <c r="GF41" i="5"/>
  <c r="GG41" i="5"/>
  <c r="GH41" i="5"/>
  <c r="GI41" i="5"/>
  <c r="GJ41" i="5"/>
  <c r="GK41" i="5"/>
  <c r="GL41" i="5"/>
  <c r="GM41" i="5"/>
  <c r="GN41" i="5"/>
  <c r="GO41" i="5"/>
  <c r="GP41" i="5"/>
  <c r="GQ41" i="5"/>
  <c r="GR41" i="5"/>
  <c r="GS41" i="5"/>
  <c r="GT41" i="5"/>
  <c r="GU41" i="5"/>
  <c r="GV41" i="5"/>
  <c r="GW41" i="5"/>
  <c r="GX41" i="5"/>
  <c r="GY41" i="5"/>
  <c r="GZ41" i="5"/>
  <c r="HA41" i="5"/>
  <c r="HB41" i="5"/>
  <c r="HC41" i="5"/>
  <c r="HD41" i="5"/>
  <c r="HE41" i="5"/>
  <c r="HF41" i="5"/>
  <c r="HG41" i="5"/>
  <c r="HH41" i="5"/>
  <c r="HI41" i="5"/>
  <c r="HJ41" i="5"/>
  <c r="HK41" i="5"/>
  <c r="HL41" i="5"/>
  <c r="HM41" i="5"/>
  <c r="HN41" i="5"/>
  <c r="HO41" i="5"/>
  <c r="HP41" i="5"/>
  <c r="HQ41" i="5"/>
  <c r="HR41" i="5"/>
  <c r="HS41" i="5"/>
  <c r="HT41" i="5"/>
  <c r="HU41" i="5"/>
  <c r="HV41" i="5"/>
  <c r="HW41" i="5"/>
  <c r="HX41" i="5"/>
  <c r="HY41" i="5"/>
  <c r="HZ41" i="5"/>
  <c r="IA41" i="5"/>
  <c r="IB41" i="5"/>
  <c r="IC41" i="5"/>
  <c r="ID41" i="5"/>
  <c r="IE41" i="5"/>
  <c r="IF41" i="5"/>
  <c r="IG41" i="5"/>
  <c r="IH41" i="5"/>
  <c r="II41" i="5"/>
  <c r="IJ41" i="5"/>
  <c r="IK41" i="5"/>
  <c r="IL41" i="5"/>
  <c r="IM41" i="5"/>
  <c r="IN41" i="5"/>
  <c r="IO41" i="5"/>
  <c r="IP41" i="5"/>
  <c r="IQ41" i="5"/>
  <c r="IR41" i="5"/>
  <c r="IS41" i="5"/>
  <c r="IT41" i="5"/>
  <c r="IU41" i="5"/>
  <c r="IV41" i="5"/>
  <c r="A40" i="5"/>
  <c r="B40" i="5"/>
  <c r="C40" i="5"/>
  <c r="D40" i="5"/>
  <c r="E40" i="5"/>
  <c r="F40" i="5"/>
  <c r="G40" i="5"/>
  <c r="H40" i="5"/>
  <c r="I40" i="5"/>
  <c r="J40" i="5"/>
  <c r="K40" i="5"/>
  <c r="L40" i="5"/>
  <c r="M40" i="5"/>
  <c r="N40" i="5"/>
  <c r="O40" i="5"/>
  <c r="P40" i="5"/>
  <c r="Q40" i="5"/>
  <c r="R40" i="5"/>
  <c r="S40" i="5"/>
  <c r="T40" i="5"/>
  <c r="U40" i="5"/>
  <c r="V40" i="5"/>
  <c r="W40" i="5"/>
  <c r="X40" i="5"/>
  <c r="Y40" i="5"/>
  <c r="Z40" i="5"/>
  <c r="AA40" i="5"/>
  <c r="AB40" i="5"/>
  <c r="AC40" i="5"/>
  <c r="AD40" i="5"/>
  <c r="AE40" i="5"/>
  <c r="AF40" i="5"/>
  <c r="AG40" i="5"/>
  <c r="AH40" i="5"/>
  <c r="AI40" i="5"/>
  <c r="AJ40" i="5"/>
  <c r="AK40" i="5"/>
  <c r="AL40" i="5"/>
  <c r="AM40" i="5"/>
  <c r="AN40" i="5"/>
  <c r="AO40" i="5"/>
  <c r="AP40" i="5"/>
  <c r="AQ40" i="5"/>
  <c r="AR40" i="5"/>
  <c r="AS40" i="5"/>
  <c r="AT40" i="5"/>
  <c r="AU40" i="5"/>
  <c r="AV40" i="5"/>
  <c r="AW40" i="5"/>
  <c r="AX40" i="5"/>
  <c r="AY40" i="5"/>
  <c r="AZ40" i="5"/>
  <c r="BA40" i="5"/>
  <c r="BB40" i="5"/>
  <c r="BC40" i="5"/>
  <c r="BD40" i="5"/>
  <c r="BE40" i="5"/>
  <c r="BF40" i="5"/>
  <c r="BG40" i="5"/>
  <c r="BH40" i="5"/>
  <c r="BI40" i="5"/>
  <c r="BJ40" i="5"/>
  <c r="BK40" i="5"/>
  <c r="BL40" i="5"/>
  <c r="BM40" i="5"/>
  <c r="BN40" i="5"/>
  <c r="BO40" i="5"/>
  <c r="BP40" i="5"/>
  <c r="BQ40" i="5"/>
  <c r="BR40" i="5"/>
  <c r="BS40" i="5"/>
  <c r="BT40" i="5"/>
  <c r="BU40" i="5"/>
  <c r="BV40" i="5"/>
  <c r="BW40" i="5"/>
  <c r="BX40" i="5"/>
  <c r="BY40" i="5"/>
  <c r="BZ40" i="5"/>
  <c r="CA40" i="5"/>
  <c r="CB40" i="5"/>
  <c r="CC40" i="5"/>
  <c r="CD40" i="5"/>
  <c r="CE40" i="5"/>
  <c r="CF40" i="5"/>
  <c r="CG40" i="5"/>
  <c r="CH40" i="5"/>
  <c r="CI40" i="5"/>
  <c r="CJ40" i="5"/>
  <c r="CK40" i="5"/>
  <c r="CL40" i="5"/>
  <c r="CM40" i="5"/>
  <c r="CN40" i="5"/>
  <c r="CO40" i="5"/>
  <c r="CP40" i="5"/>
  <c r="CQ40" i="5"/>
  <c r="CR40" i="5"/>
  <c r="CS40" i="5"/>
  <c r="CT40" i="5"/>
  <c r="CU40" i="5"/>
  <c r="CV40" i="5"/>
  <c r="CW40" i="5"/>
  <c r="CX40" i="5"/>
  <c r="CY40" i="5"/>
  <c r="CZ40" i="5"/>
  <c r="DA40" i="5"/>
  <c r="DB40" i="5"/>
  <c r="DC40" i="5"/>
  <c r="DD40" i="5"/>
  <c r="DE40" i="5"/>
  <c r="DF40" i="5"/>
  <c r="DG40" i="5"/>
  <c r="DH40" i="5"/>
  <c r="DI40" i="5"/>
  <c r="DJ40" i="5"/>
  <c r="DK40" i="5"/>
  <c r="DL40" i="5"/>
  <c r="DM40" i="5"/>
  <c r="DN40" i="5"/>
  <c r="DO40" i="5"/>
  <c r="DP40" i="5"/>
  <c r="DQ40" i="5"/>
  <c r="DR40" i="5"/>
  <c r="DS40" i="5"/>
  <c r="DT40" i="5"/>
  <c r="DU40" i="5"/>
  <c r="DV40" i="5"/>
  <c r="DW40" i="5"/>
  <c r="DX40" i="5"/>
  <c r="DY40" i="5"/>
  <c r="DZ40" i="5"/>
  <c r="EA40" i="5"/>
  <c r="EB40" i="5"/>
  <c r="EC40" i="5"/>
  <c r="ED40" i="5"/>
  <c r="EE40" i="5"/>
  <c r="EF40" i="5"/>
  <c r="EG40" i="5"/>
  <c r="EH40" i="5"/>
  <c r="EI40" i="5"/>
  <c r="EJ40" i="5"/>
  <c r="EK40" i="5"/>
  <c r="EL40" i="5"/>
  <c r="EM40" i="5"/>
  <c r="EN40" i="5"/>
  <c r="EO40" i="5"/>
  <c r="EP40" i="5"/>
  <c r="EQ40" i="5"/>
  <c r="ER40" i="5"/>
  <c r="ES40" i="5"/>
  <c r="ET40" i="5"/>
  <c r="EU40" i="5"/>
  <c r="EV40" i="5"/>
  <c r="EW40" i="5"/>
  <c r="EX40" i="5"/>
  <c r="EY40" i="5"/>
  <c r="EZ40" i="5"/>
  <c r="FA40" i="5"/>
  <c r="FB40" i="5"/>
  <c r="FC40" i="5"/>
  <c r="FD40" i="5"/>
  <c r="FE40" i="5"/>
  <c r="FF40" i="5"/>
  <c r="FG40" i="5"/>
  <c r="FH40" i="5"/>
  <c r="FI40" i="5"/>
  <c r="FJ40" i="5"/>
  <c r="FK40" i="5"/>
  <c r="FL40" i="5"/>
  <c r="FM40" i="5"/>
  <c r="FN40" i="5"/>
  <c r="FO40" i="5"/>
  <c r="FP40" i="5"/>
  <c r="FQ40" i="5"/>
  <c r="FR40" i="5"/>
  <c r="FS40" i="5"/>
  <c r="FT40" i="5"/>
  <c r="FU40" i="5"/>
  <c r="FV40" i="5"/>
  <c r="FW40" i="5"/>
  <c r="FX40" i="5"/>
  <c r="FY40" i="5"/>
  <c r="FZ40" i="5"/>
  <c r="GA40" i="5"/>
  <c r="GB40" i="5"/>
  <c r="GC40" i="5"/>
  <c r="GD40" i="5"/>
  <c r="GE40" i="5"/>
  <c r="GF40" i="5"/>
  <c r="GG40" i="5"/>
  <c r="GH40" i="5"/>
  <c r="GI40" i="5"/>
  <c r="GJ40" i="5"/>
  <c r="GK40" i="5"/>
  <c r="GL40" i="5"/>
  <c r="GM40" i="5"/>
  <c r="GN40" i="5"/>
  <c r="GO40" i="5"/>
  <c r="GP40" i="5"/>
  <c r="GQ40" i="5"/>
  <c r="GR40" i="5"/>
  <c r="GS40" i="5"/>
  <c r="GT40" i="5"/>
  <c r="GU40" i="5"/>
  <c r="GV40" i="5"/>
  <c r="GW40" i="5"/>
  <c r="GX40" i="5"/>
  <c r="GY40" i="5"/>
  <c r="GZ40" i="5"/>
  <c r="HA40" i="5"/>
  <c r="HB40" i="5"/>
  <c r="HC40" i="5"/>
  <c r="HD40" i="5"/>
  <c r="HE40" i="5"/>
  <c r="HF40" i="5"/>
  <c r="HG40" i="5"/>
  <c r="HH40" i="5"/>
  <c r="HI40" i="5"/>
  <c r="HJ40" i="5"/>
  <c r="HK40" i="5"/>
  <c r="HL40" i="5"/>
  <c r="HM40" i="5"/>
  <c r="HN40" i="5"/>
  <c r="HO40" i="5"/>
  <c r="HP40" i="5"/>
  <c r="HQ40" i="5"/>
  <c r="HR40" i="5"/>
  <c r="HS40" i="5"/>
  <c r="HT40" i="5"/>
  <c r="HU40" i="5"/>
  <c r="HV40" i="5"/>
  <c r="HW40" i="5"/>
  <c r="HX40" i="5"/>
  <c r="HY40" i="5"/>
  <c r="HZ40" i="5"/>
  <c r="IA40" i="5"/>
  <c r="IB40" i="5"/>
  <c r="IC40" i="5"/>
  <c r="ID40" i="5"/>
  <c r="IE40" i="5"/>
  <c r="IF40" i="5"/>
  <c r="IG40" i="5"/>
  <c r="IH40" i="5"/>
  <c r="II40" i="5"/>
  <c r="IJ40" i="5"/>
  <c r="IK40" i="5"/>
  <c r="IL40" i="5"/>
  <c r="IM40" i="5"/>
  <c r="IN40" i="5"/>
  <c r="IO40" i="5"/>
  <c r="IP40" i="5"/>
  <c r="IQ40" i="5"/>
  <c r="IR40" i="5"/>
  <c r="IS40" i="5"/>
  <c r="IT40" i="5"/>
  <c r="IU40" i="5"/>
  <c r="IV40" i="5"/>
  <c r="A39" i="5"/>
  <c r="B39" i="5"/>
  <c r="C39" i="5"/>
  <c r="D39" i="5"/>
  <c r="E39" i="5"/>
  <c r="F39" i="5"/>
  <c r="G39" i="5"/>
  <c r="H39" i="5"/>
  <c r="I39" i="5"/>
  <c r="J39" i="5"/>
  <c r="K39" i="5"/>
  <c r="L39" i="5"/>
  <c r="M39" i="5"/>
  <c r="N39" i="5"/>
  <c r="O39" i="5"/>
  <c r="P39" i="5"/>
  <c r="Q39" i="5"/>
  <c r="R39" i="5"/>
  <c r="S39" i="5"/>
  <c r="T39" i="5"/>
  <c r="U39" i="5"/>
  <c r="V39" i="5"/>
  <c r="W39" i="5"/>
  <c r="X39" i="5"/>
  <c r="Y39" i="5"/>
  <c r="Z39" i="5"/>
  <c r="AA39" i="5"/>
  <c r="AB39" i="5"/>
  <c r="AC39" i="5"/>
  <c r="AD39" i="5"/>
  <c r="AE39" i="5"/>
  <c r="AF39" i="5"/>
  <c r="AG39" i="5"/>
  <c r="AH39" i="5"/>
  <c r="AI39" i="5"/>
  <c r="AJ39" i="5"/>
  <c r="AK39" i="5"/>
  <c r="AL39" i="5"/>
  <c r="AM39" i="5"/>
  <c r="AN39" i="5"/>
  <c r="AO39" i="5"/>
  <c r="AP39" i="5"/>
  <c r="AQ39" i="5"/>
  <c r="AR39" i="5"/>
  <c r="AS39" i="5"/>
  <c r="AT39" i="5"/>
  <c r="AU39" i="5"/>
  <c r="AV39" i="5"/>
  <c r="AW39" i="5"/>
  <c r="AX39" i="5"/>
  <c r="AY39" i="5"/>
  <c r="AZ39" i="5"/>
  <c r="BA39" i="5"/>
  <c r="BB39" i="5"/>
  <c r="BC39" i="5"/>
  <c r="BD39" i="5"/>
  <c r="BE39" i="5"/>
  <c r="BF39" i="5"/>
  <c r="BG39" i="5"/>
  <c r="BH39" i="5"/>
  <c r="BI39" i="5"/>
  <c r="BJ39" i="5"/>
  <c r="BK39" i="5"/>
  <c r="BL39" i="5"/>
  <c r="BM39" i="5"/>
  <c r="BN39" i="5"/>
  <c r="BO39" i="5"/>
  <c r="BP39" i="5"/>
  <c r="BQ39" i="5"/>
  <c r="BR39" i="5"/>
  <c r="BT39" i="5"/>
  <c r="BU39" i="5"/>
  <c r="BV39" i="5"/>
  <c r="BW39" i="5"/>
  <c r="BX39" i="5"/>
  <c r="BY39" i="5"/>
  <c r="BZ39" i="5"/>
  <c r="CA39" i="5"/>
  <c r="CB39" i="5"/>
  <c r="CC39" i="5"/>
  <c r="CD39" i="5"/>
  <c r="CE39" i="5"/>
  <c r="CF39" i="5"/>
  <c r="CG39" i="5"/>
  <c r="CH39" i="5"/>
  <c r="CI39" i="5"/>
  <c r="CJ39" i="5"/>
  <c r="CK39" i="5"/>
  <c r="CL39" i="5"/>
  <c r="CM39" i="5"/>
  <c r="CN39" i="5"/>
  <c r="CO39" i="5"/>
  <c r="CP39" i="5"/>
  <c r="CQ39" i="5"/>
  <c r="CR39" i="5"/>
  <c r="CS39" i="5"/>
  <c r="CT39" i="5"/>
  <c r="CU39" i="5"/>
  <c r="CV39" i="5"/>
  <c r="CW39" i="5"/>
  <c r="CX39" i="5"/>
  <c r="CY39" i="5"/>
  <c r="CZ39" i="5"/>
  <c r="DA39" i="5"/>
  <c r="DB39" i="5"/>
  <c r="DC39" i="5"/>
  <c r="DD39" i="5"/>
  <c r="DE39" i="5"/>
  <c r="DF39" i="5"/>
  <c r="DG39" i="5"/>
  <c r="DH39" i="5"/>
  <c r="DI39" i="5"/>
  <c r="DJ39" i="5"/>
  <c r="DK39" i="5"/>
  <c r="DL39" i="5"/>
  <c r="DM39" i="5"/>
  <c r="DN39" i="5"/>
  <c r="DO39" i="5"/>
  <c r="DP39" i="5"/>
  <c r="DQ39" i="5"/>
  <c r="DR39" i="5"/>
  <c r="DS39" i="5"/>
  <c r="DT39" i="5"/>
  <c r="DU39" i="5"/>
  <c r="DV39" i="5"/>
  <c r="DW39" i="5"/>
  <c r="DX39" i="5"/>
  <c r="DY39" i="5"/>
  <c r="DZ39" i="5"/>
  <c r="EA39" i="5"/>
  <c r="EB39" i="5"/>
  <c r="EC39" i="5"/>
  <c r="ED39" i="5"/>
  <c r="EE39" i="5"/>
  <c r="EF39" i="5"/>
  <c r="EG39" i="5"/>
  <c r="EH39" i="5"/>
  <c r="EI39" i="5"/>
  <c r="EJ39" i="5"/>
  <c r="EK39" i="5"/>
  <c r="EL39" i="5"/>
  <c r="EM39" i="5"/>
  <c r="EN39" i="5"/>
  <c r="EO39" i="5"/>
  <c r="EP39" i="5"/>
  <c r="EQ39" i="5"/>
  <c r="ER39" i="5"/>
  <c r="ES39" i="5"/>
  <c r="ET39" i="5"/>
  <c r="EU39" i="5"/>
  <c r="EV39" i="5"/>
  <c r="EW39" i="5"/>
  <c r="EX39" i="5"/>
  <c r="EY39" i="5"/>
  <c r="EZ39" i="5"/>
  <c r="FA39" i="5"/>
  <c r="FB39" i="5"/>
  <c r="FC39" i="5"/>
  <c r="FD39" i="5"/>
  <c r="FE39" i="5"/>
  <c r="FF39" i="5"/>
  <c r="FG39" i="5"/>
  <c r="FH39" i="5"/>
  <c r="FI39" i="5"/>
  <c r="FJ39" i="5"/>
  <c r="FK39" i="5"/>
  <c r="FL39" i="5"/>
  <c r="FM39" i="5"/>
  <c r="FN39" i="5"/>
  <c r="FO39" i="5"/>
  <c r="FP39" i="5"/>
  <c r="FQ39" i="5"/>
  <c r="FR39" i="5"/>
  <c r="FS39" i="5"/>
  <c r="FT39" i="5"/>
  <c r="FU39" i="5"/>
  <c r="FV39" i="5"/>
  <c r="FW39" i="5"/>
  <c r="FX39" i="5"/>
  <c r="FY39" i="5"/>
  <c r="FZ39" i="5"/>
  <c r="GA39" i="5"/>
  <c r="GB39" i="5"/>
  <c r="GC39" i="5"/>
  <c r="GD39" i="5"/>
  <c r="GE39" i="5"/>
  <c r="GF39" i="5"/>
  <c r="GG39" i="5"/>
  <c r="GH39" i="5"/>
  <c r="GI39" i="5"/>
  <c r="GJ39" i="5"/>
  <c r="GK39" i="5"/>
  <c r="GL39" i="5"/>
  <c r="GM39" i="5"/>
  <c r="GN39" i="5"/>
  <c r="GO39" i="5"/>
  <c r="GP39" i="5"/>
  <c r="GQ39" i="5"/>
  <c r="GR39" i="5"/>
  <c r="GS39" i="5"/>
  <c r="GT39" i="5"/>
  <c r="GU39" i="5"/>
  <c r="GV39" i="5"/>
  <c r="GW39" i="5"/>
  <c r="GX39" i="5"/>
  <c r="GY39" i="5"/>
  <c r="GZ39" i="5"/>
  <c r="HA39" i="5"/>
  <c r="HB39" i="5"/>
  <c r="HC39" i="5"/>
  <c r="HD39" i="5"/>
  <c r="HE39" i="5"/>
  <c r="HF39" i="5"/>
  <c r="HG39" i="5"/>
  <c r="HH39" i="5"/>
  <c r="HI39" i="5"/>
  <c r="HJ39" i="5"/>
  <c r="HK39" i="5"/>
  <c r="HL39" i="5"/>
  <c r="HM39" i="5"/>
  <c r="HN39" i="5"/>
  <c r="HO39" i="5"/>
  <c r="HP39" i="5"/>
  <c r="HQ39" i="5"/>
  <c r="HR39" i="5"/>
  <c r="HS39" i="5"/>
  <c r="HT39" i="5"/>
  <c r="HU39" i="5"/>
  <c r="HV39" i="5"/>
  <c r="HW39" i="5"/>
  <c r="HX39" i="5"/>
  <c r="HY39" i="5"/>
  <c r="HZ39" i="5"/>
  <c r="IA39" i="5"/>
  <c r="IB39" i="5"/>
  <c r="IC39" i="5"/>
  <c r="ID39" i="5"/>
  <c r="IE39" i="5"/>
  <c r="IF39" i="5"/>
  <c r="IG39" i="5"/>
  <c r="IH39" i="5"/>
  <c r="II39" i="5"/>
  <c r="IJ39" i="5"/>
  <c r="IK39" i="5"/>
  <c r="IL39" i="5"/>
  <c r="IM39" i="5"/>
  <c r="IN39" i="5"/>
  <c r="IO39" i="5"/>
  <c r="IP39" i="5"/>
  <c r="IQ39" i="5"/>
  <c r="IR39" i="5"/>
  <c r="IS39" i="5"/>
  <c r="IT39" i="5"/>
  <c r="IU39" i="5"/>
  <c r="IV39" i="5"/>
  <c r="A38" i="5"/>
  <c r="B38" i="5"/>
  <c r="C38" i="5"/>
  <c r="D38" i="5"/>
  <c r="E38" i="5"/>
  <c r="F38" i="5"/>
  <c r="G38" i="5"/>
  <c r="H38" i="5"/>
  <c r="I38" i="5"/>
  <c r="J38" i="5"/>
  <c r="K38" i="5"/>
  <c r="L38" i="5"/>
  <c r="M38" i="5"/>
  <c r="N38" i="5"/>
  <c r="O38" i="5"/>
  <c r="P38" i="5"/>
  <c r="Q38" i="5"/>
  <c r="R38" i="5"/>
  <c r="S38" i="5"/>
  <c r="T38" i="5"/>
  <c r="U38" i="5"/>
  <c r="V38" i="5"/>
  <c r="W38" i="5"/>
  <c r="X38" i="5"/>
  <c r="Y38" i="5"/>
  <c r="Z38" i="5"/>
  <c r="AA38" i="5"/>
  <c r="AB38" i="5"/>
  <c r="AC38" i="5"/>
  <c r="AD38" i="5"/>
  <c r="AE38" i="5"/>
  <c r="AF38" i="5"/>
  <c r="AG38" i="5"/>
  <c r="AH38" i="5"/>
  <c r="AI38" i="5"/>
  <c r="AJ38" i="5"/>
  <c r="AK38" i="5"/>
  <c r="AL38" i="5"/>
  <c r="AM38" i="5"/>
  <c r="AN38" i="5"/>
  <c r="AO38" i="5"/>
  <c r="AP38" i="5"/>
  <c r="AQ38" i="5"/>
  <c r="AR38" i="5"/>
  <c r="AS38" i="5"/>
  <c r="AT38" i="5"/>
  <c r="AU38" i="5"/>
  <c r="AV38" i="5"/>
  <c r="AW38" i="5"/>
  <c r="AX38" i="5"/>
  <c r="AZ38" i="5"/>
  <c r="BA38" i="5"/>
  <c r="BB38" i="5"/>
  <c r="BC38" i="5"/>
  <c r="BD38" i="5"/>
  <c r="BE38" i="5"/>
  <c r="BF38" i="5"/>
  <c r="BG38" i="5"/>
  <c r="BH38" i="5"/>
  <c r="BI38" i="5"/>
  <c r="BJ38" i="5"/>
  <c r="BK38" i="5"/>
  <c r="BL38" i="5"/>
  <c r="BM38" i="5"/>
  <c r="BN38" i="5"/>
  <c r="BO38" i="5"/>
  <c r="BP38" i="5"/>
  <c r="BQ38" i="5"/>
  <c r="BR38" i="5"/>
  <c r="BS38" i="5"/>
  <c r="BT38" i="5"/>
  <c r="BU38" i="5"/>
  <c r="BV38" i="5"/>
  <c r="BW38" i="5"/>
  <c r="BX38" i="5"/>
  <c r="BY38" i="5"/>
  <c r="BZ38" i="5"/>
  <c r="CA38" i="5"/>
  <c r="CB38" i="5"/>
  <c r="CC38" i="5"/>
  <c r="CD38" i="5"/>
  <c r="CE38" i="5"/>
  <c r="CF38" i="5"/>
  <c r="CG38" i="5"/>
  <c r="CH38" i="5"/>
  <c r="CI38" i="5"/>
  <c r="CJ38" i="5"/>
  <c r="CK38" i="5"/>
  <c r="CL38" i="5"/>
  <c r="CM38" i="5"/>
  <c r="CN38" i="5"/>
  <c r="CO38" i="5"/>
  <c r="CP38" i="5"/>
  <c r="CQ38" i="5"/>
  <c r="CR38" i="5"/>
  <c r="CS38" i="5"/>
  <c r="CT38" i="5"/>
  <c r="CU38" i="5"/>
  <c r="CV38" i="5"/>
  <c r="CW38" i="5"/>
  <c r="CX38" i="5"/>
  <c r="CY38" i="5"/>
  <c r="CZ38" i="5"/>
  <c r="DA38" i="5"/>
  <c r="DB38" i="5"/>
  <c r="DC38" i="5"/>
  <c r="DD38" i="5"/>
  <c r="DE38" i="5"/>
  <c r="DF38" i="5"/>
  <c r="DG38" i="5"/>
  <c r="DH38" i="5"/>
  <c r="DI38" i="5"/>
  <c r="DJ38" i="5"/>
  <c r="DK38" i="5"/>
  <c r="DL38" i="5"/>
  <c r="DM38" i="5"/>
  <c r="DN38" i="5"/>
  <c r="DO38" i="5"/>
  <c r="DP38" i="5"/>
  <c r="DQ38" i="5"/>
  <c r="DR38" i="5"/>
  <c r="DS38" i="5"/>
  <c r="DT38" i="5"/>
  <c r="DU38" i="5"/>
  <c r="DV38" i="5"/>
  <c r="DW38" i="5"/>
  <c r="DX38" i="5"/>
  <c r="DY38" i="5"/>
  <c r="DZ38" i="5"/>
  <c r="EA38" i="5"/>
  <c r="EB38" i="5"/>
  <c r="EC38" i="5"/>
  <c r="ED38" i="5"/>
  <c r="EE38" i="5"/>
  <c r="EF38" i="5"/>
  <c r="EG38" i="5"/>
  <c r="EH38" i="5"/>
  <c r="EI38" i="5"/>
  <c r="EJ38" i="5"/>
  <c r="EK38" i="5"/>
  <c r="EL38" i="5"/>
  <c r="EM38" i="5"/>
  <c r="EN38" i="5"/>
  <c r="EO38" i="5"/>
  <c r="EP38" i="5"/>
  <c r="EQ38" i="5"/>
  <c r="ER38" i="5"/>
  <c r="ES38" i="5"/>
  <c r="ET38" i="5"/>
  <c r="EU38" i="5"/>
  <c r="EV38" i="5"/>
  <c r="EW38" i="5"/>
  <c r="EX38" i="5"/>
  <c r="EY38" i="5"/>
  <c r="EZ38" i="5"/>
  <c r="FA38" i="5"/>
  <c r="FB38" i="5"/>
  <c r="FC38" i="5"/>
  <c r="FD38" i="5"/>
  <c r="FE38" i="5"/>
  <c r="FF38" i="5"/>
  <c r="FG38" i="5"/>
  <c r="FH38" i="5"/>
  <c r="FI38" i="5"/>
  <c r="FJ38" i="5"/>
  <c r="FK38" i="5"/>
  <c r="FL38" i="5"/>
  <c r="FM38" i="5"/>
  <c r="FN38" i="5"/>
  <c r="FO38" i="5"/>
  <c r="FP38" i="5"/>
  <c r="FQ38" i="5"/>
  <c r="FR38" i="5"/>
  <c r="FS38" i="5"/>
  <c r="FT38" i="5"/>
  <c r="FU38" i="5"/>
  <c r="FV38" i="5"/>
  <c r="FW38" i="5"/>
  <c r="FX38" i="5"/>
  <c r="FY38" i="5"/>
  <c r="FZ38" i="5"/>
  <c r="GA38" i="5"/>
  <c r="GB38" i="5"/>
  <c r="GC38" i="5"/>
  <c r="GD38" i="5"/>
  <c r="GE38" i="5"/>
  <c r="GF38" i="5"/>
  <c r="GG38" i="5"/>
  <c r="GH38" i="5"/>
  <c r="GI38" i="5"/>
  <c r="GJ38" i="5"/>
  <c r="GK38" i="5"/>
  <c r="GL38" i="5"/>
  <c r="GM38" i="5"/>
  <c r="GN38" i="5"/>
  <c r="GO38" i="5"/>
  <c r="GP38" i="5"/>
  <c r="GQ38" i="5"/>
  <c r="GR38" i="5"/>
  <c r="GS38" i="5"/>
  <c r="GT38" i="5"/>
  <c r="GU38" i="5"/>
  <c r="GV38" i="5"/>
  <c r="GW38" i="5"/>
  <c r="GX38" i="5"/>
  <c r="GY38" i="5"/>
  <c r="GZ38" i="5"/>
  <c r="HA38" i="5"/>
  <c r="HB38" i="5"/>
  <c r="HC38" i="5"/>
  <c r="HD38" i="5"/>
  <c r="HE38" i="5"/>
  <c r="HF38" i="5"/>
  <c r="HG38" i="5"/>
  <c r="HH38" i="5"/>
  <c r="HI38" i="5"/>
  <c r="HJ38" i="5"/>
  <c r="HK38" i="5"/>
  <c r="HL38" i="5"/>
  <c r="HM38" i="5"/>
  <c r="HN38" i="5"/>
  <c r="HO38" i="5"/>
  <c r="HP38" i="5"/>
  <c r="HQ38" i="5"/>
  <c r="HR38" i="5"/>
  <c r="HS38" i="5"/>
  <c r="HT38" i="5"/>
  <c r="HU38" i="5"/>
  <c r="HV38" i="5"/>
  <c r="HW38" i="5"/>
  <c r="HX38" i="5"/>
  <c r="HY38" i="5"/>
  <c r="HZ38" i="5"/>
  <c r="IA38" i="5"/>
  <c r="IB38" i="5"/>
  <c r="IC38" i="5"/>
  <c r="ID38" i="5"/>
  <c r="IE38" i="5"/>
  <c r="IF38" i="5"/>
  <c r="IG38" i="5"/>
  <c r="IH38" i="5"/>
  <c r="II38" i="5"/>
  <c r="IJ38" i="5"/>
  <c r="IK38" i="5"/>
  <c r="IL38" i="5"/>
  <c r="IM38" i="5"/>
  <c r="IN38" i="5"/>
  <c r="IO38" i="5"/>
  <c r="IP38" i="5"/>
  <c r="IQ38" i="5"/>
  <c r="IR38" i="5"/>
  <c r="IS38" i="5"/>
  <c r="IT38" i="5"/>
  <c r="IU38" i="5"/>
  <c r="IV38" i="5"/>
  <c r="A37" i="5"/>
  <c r="B37" i="5"/>
  <c r="C37" i="5"/>
  <c r="D37" i="5"/>
  <c r="E37" i="5"/>
  <c r="F37" i="5"/>
  <c r="G37" i="5"/>
  <c r="H37" i="5"/>
  <c r="I37" i="5"/>
  <c r="J37" i="5"/>
  <c r="K37" i="5"/>
  <c r="L37" i="5"/>
  <c r="M37" i="5"/>
  <c r="N37" i="5"/>
  <c r="O37" i="5"/>
  <c r="P37" i="5"/>
  <c r="Q37" i="5"/>
  <c r="R37" i="5"/>
  <c r="S37" i="5"/>
  <c r="T37" i="5"/>
  <c r="U37" i="5"/>
  <c r="V37" i="5"/>
  <c r="W37" i="5"/>
  <c r="X37" i="5"/>
  <c r="Y37" i="5"/>
  <c r="Z37" i="5"/>
  <c r="AA37" i="5"/>
  <c r="AB37" i="5"/>
  <c r="AC37" i="5"/>
  <c r="AD37" i="5"/>
  <c r="AE37" i="5"/>
  <c r="AF37" i="5"/>
  <c r="AG37" i="5"/>
  <c r="AH37" i="5"/>
  <c r="AI37" i="5"/>
  <c r="AJ37" i="5"/>
  <c r="AK37" i="5"/>
  <c r="AL37" i="5"/>
  <c r="AM37" i="5"/>
  <c r="AN37" i="5"/>
  <c r="AO37" i="5"/>
  <c r="AP37" i="5"/>
  <c r="AQ37" i="5"/>
  <c r="AR37" i="5"/>
  <c r="AS37" i="5"/>
  <c r="AT37" i="5"/>
  <c r="AU37" i="5"/>
  <c r="AV37" i="5"/>
  <c r="AW37" i="5"/>
  <c r="AX37" i="5"/>
  <c r="AY37" i="5"/>
  <c r="AZ37" i="5"/>
  <c r="BA37" i="5"/>
  <c r="BB37" i="5"/>
  <c r="BC37" i="5"/>
  <c r="BD37" i="5"/>
  <c r="BE37" i="5"/>
  <c r="BF37" i="5"/>
  <c r="BG37" i="5"/>
  <c r="BH37" i="5"/>
  <c r="BI37" i="5"/>
  <c r="BJ37" i="5"/>
  <c r="BK37" i="5"/>
  <c r="BL37" i="5"/>
  <c r="BM37" i="5"/>
  <c r="BN37" i="5"/>
  <c r="BO37" i="5"/>
  <c r="BP37" i="5"/>
  <c r="BQ37" i="5"/>
  <c r="BR37" i="5"/>
  <c r="BS37" i="5"/>
  <c r="BT37" i="5"/>
  <c r="BU37" i="5"/>
  <c r="BV37" i="5"/>
  <c r="BW37" i="5"/>
  <c r="BX37" i="5"/>
  <c r="BY37" i="5"/>
  <c r="BZ37" i="5"/>
  <c r="CA37" i="5"/>
  <c r="CB37" i="5"/>
  <c r="CC37" i="5"/>
  <c r="CD37" i="5"/>
  <c r="CE37" i="5"/>
  <c r="CF37" i="5"/>
  <c r="CG37" i="5"/>
  <c r="CH37" i="5"/>
  <c r="CI37" i="5"/>
  <c r="CJ37" i="5"/>
  <c r="CK37" i="5"/>
  <c r="CL37" i="5"/>
  <c r="CM37" i="5"/>
  <c r="CN37" i="5"/>
  <c r="CO37" i="5"/>
  <c r="CP37" i="5"/>
  <c r="CQ37" i="5"/>
  <c r="CR37" i="5"/>
  <c r="CS37" i="5"/>
  <c r="CT37" i="5"/>
  <c r="CU37" i="5"/>
  <c r="CV37" i="5"/>
  <c r="CW37" i="5"/>
  <c r="CX37" i="5"/>
  <c r="CY37" i="5"/>
  <c r="CZ37" i="5"/>
  <c r="DA37" i="5"/>
  <c r="DB37" i="5"/>
  <c r="DC37" i="5"/>
  <c r="DD37" i="5"/>
  <c r="DE37" i="5"/>
  <c r="DF37" i="5"/>
  <c r="DG37" i="5"/>
  <c r="DH37" i="5"/>
  <c r="DI37" i="5"/>
  <c r="DJ37" i="5"/>
  <c r="DK37" i="5"/>
  <c r="DL37" i="5"/>
  <c r="DM37" i="5"/>
  <c r="DN37" i="5"/>
  <c r="DO37" i="5"/>
  <c r="DP37" i="5"/>
  <c r="DQ37" i="5"/>
  <c r="DR37" i="5"/>
  <c r="DS37" i="5"/>
  <c r="DT37" i="5"/>
  <c r="DU37" i="5"/>
  <c r="DV37" i="5"/>
  <c r="DW37" i="5"/>
  <c r="DX37" i="5"/>
  <c r="DY37" i="5"/>
  <c r="DZ37" i="5"/>
  <c r="EA37" i="5"/>
  <c r="EB37" i="5"/>
  <c r="EC37" i="5"/>
  <c r="ED37" i="5"/>
  <c r="EE37" i="5"/>
  <c r="EF37" i="5"/>
  <c r="EG37" i="5"/>
  <c r="EH37" i="5"/>
  <c r="EI37" i="5"/>
  <c r="EJ37" i="5"/>
  <c r="EK37" i="5"/>
  <c r="EL37" i="5"/>
  <c r="EM37" i="5"/>
  <c r="EN37" i="5"/>
  <c r="EO37" i="5"/>
  <c r="EP37" i="5"/>
  <c r="EQ37" i="5"/>
  <c r="ER37" i="5"/>
  <c r="ES37" i="5"/>
  <c r="ET37" i="5"/>
  <c r="EU37" i="5"/>
  <c r="EV37" i="5"/>
  <c r="EW37" i="5"/>
  <c r="EX37" i="5"/>
  <c r="EY37" i="5"/>
  <c r="EZ37" i="5"/>
  <c r="FA37" i="5"/>
  <c r="FB37" i="5"/>
  <c r="FC37" i="5"/>
  <c r="FD37" i="5"/>
  <c r="FE37" i="5"/>
  <c r="FF37" i="5"/>
  <c r="FG37" i="5"/>
  <c r="FH37" i="5"/>
  <c r="FI37" i="5"/>
  <c r="FJ37" i="5"/>
  <c r="FK37" i="5"/>
  <c r="FL37" i="5"/>
  <c r="FM37" i="5"/>
  <c r="FN37" i="5"/>
  <c r="FO37" i="5"/>
  <c r="FP37" i="5"/>
  <c r="FQ37" i="5"/>
  <c r="FR37" i="5"/>
  <c r="FS37" i="5"/>
  <c r="FT37" i="5"/>
  <c r="FU37" i="5"/>
  <c r="FV37" i="5"/>
  <c r="FW37" i="5"/>
  <c r="FX37" i="5"/>
  <c r="FY37" i="5"/>
  <c r="FZ37" i="5"/>
  <c r="GA37" i="5"/>
  <c r="GB37" i="5"/>
  <c r="GC37" i="5"/>
  <c r="GD37" i="5"/>
  <c r="GE37" i="5"/>
  <c r="GF37" i="5"/>
  <c r="GG37" i="5"/>
  <c r="GH37" i="5"/>
  <c r="GI37" i="5"/>
  <c r="GJ37" i="5"/>
  <c r="GK37" i="5"/>
  <c r="GL37" i="5"/>
  <c r="GM37" i="5"/>
  <c r="GN37" i="5"/>
  <c r="GO37" i="5"/>
  <c r="GP37" i="5"/>
  <c r="GQ37" i="5"/>
  <c r="GR37" i="5"/>
  <c r="GS37" i="5"/>
  <c r="GT37" i="5"/>
  <c r="GU37" i="5"/>
  <c r="GV37" i="5"/>
  <c r="GW37" i="5"/>
  <c r="GX37" i="5"/>
  <c r="GY37" i="5"/>
  <c r="GZ37" i="5"/>
  <c r="HA37" i="5"/>
  <c r="HB37" i="5"/>
  <c r="HC37" i="5"/>
  <c r="HD37" i="5"/>
  <c r="HE37" i="5"/>
  <c r="HF37" i="5"/>
  <c r="HG37" i="5"/>
  <c r="HH37" i="5"/>
  <c r="HI37" i="5"/>
  <c r="HJ37" i="5"/>
  <c r="HK37" i="5"/>
  <c r="HL37" i="5"/>
  <c r="HM37" i="5"/>
  <c r="HN37" i="5"/>
  <c r="HO37" i="5"/>
  <c r="HP37" i="5"/>
  <c r="HQ37" i="5"/>
  <c r="HR37" i="5"/>
  <c r="HS37" i="5"/>
  <c r="HT37" i="5"/>
  <c r="HU37" i="5"/>
  <c r="HV37" i="5"/>
  <c r="HW37" i="5"/>
  <c r="HX37" i="5"/>
  <c r="HY37" i="5"/>
  <c r="HZ37" i="5"/>
  <c r="IA37" i="5"/>
  <c r="IB37" i="5"/>
  <c r="IC37" i="5"/>
  <c r="ID37" i="5"/>
  <c r="IE37" i="5"/>
  <c r="IF37" i="5"/>
  <c r="IG37" i="5"/>
  <c r="IH37" i="5"/>
  <c r="II37" i="5"/>
  <c r="IJ37" i="5"/>
  <c r="IK37" i="5"/>
  <c r="IL37" i="5"/>
  <c r="IM37" i="5"/>
  <c r="IN37" i="5"/>
  <c r="IO37" i="5"/>
  <c r="IP37" i="5"/>
  <c r="IQ37" i="5"/>
  <c r="IR37" i="5"/>
  <c r="IS37" i="5"/>
  <c r="IT37" i="5"/>
  <c r="IU37" i="5"/>
  <c r="IV37" i="5"/>
  <c r="A36" i="5"/>
  <c r="B36" i="5"/>
  <c r="C36" i="5"/>
  <c r="D36" i="5"/>
  <c r="E36" i="5"/>
  <c r="F36" i="5"/>
  <c r="G36" i="5"/>
  <c r="H36" i="5"/>
  <c r="I36" i="5"/>
  <c r="J36" i="5"/>
  <c r="L36" i="5"/>
  <c r="M36" i="5"/>
  <c r="N36" i="5"/>
  <c r="O36" i="5"/>
  <c r="P36" i="5"/>
  <c r="Q36" i="5"/>
  <c r="R36" i="5"/>
  <c r="S36" i="5"/>
  <c r="T36" i="5"/>
  <c r="U36" i="5"/>
  <c r="V36" i="5"/>
  <c r="W36" i="5"/>
  <c r="X36" i="5"/>
  <c r="Y36" i="5"/>
  <c r="Z36" i="5"/>
  <c r="AA36" i="5"/>
  <c r="AB36" i="5"/>
  <c r="AC36" i="5"/>
  <c r="AD36" i="5"/>
  <c r="AE36" i="5"/>
  <c r="AF36" i="5"/>
  <c r="AG36" i="5"/>
  <c r="AH36" i="5"/>
  <c r="AI36" i="5"/>
  <c r="AJ36" i="5"/>
  <c r="AK36" i="5"/>
  <c r="AL36" i="5"/>
  <c r="AM36" i="5"/>
  <c r="AN36" i="5"/>
  <c r="AO36" i="5"/>
  <c r="AP36" i="5"/>
  <c r="AQ36" i="5"/>
  <c r="AR36" i="5"/>
  <c r="AS36" i="5"/>
  <c r="AT36" i="5"/>
  <c r="AU36" i="5"/>
  <c r="AV36" i="5"/>
  <c r="AW36" i="5"/>
  <c r="AX36" i="5"/>
  <c r="AY36" i="5"/>
  <c r="AZ36" i="5"/>
  <c r="BA36" i="5"/>
  <c r="BB36" i="5"/>
  <c r="BC36" i="5"/>
  <c r="BD36" i="5"/>
  <c r="BE36" i="5"/>
  <c r="BF36" i="5"/>
  <c r="BG36" i="5"/>
  <c r="BH36" i="5"/>
  <c r="BI36" i="5"/>
  <c r="BJ36" i="5"/>
  <c r="BK36" i="5"/>
  <c r="BL36" i="5"/>
  <c r="BM36" i="5"/>
  <c r="BN36" i="5"/>
  <c r="BO36" i="5"/>
  <c r="BP36" i="5"/>
  <c r="BQ36" i="5"/>
  <c r="BR36" i="5"/>
  <c r="BS36" i="5"/>
  <c r="BT36" i="5"/>
  <c r="BU36" i="5"/>
  <c r="BV36" i="5"/>
  <c r="BW36" i="5"/>
  <c r="BX36" i="5"/>
  <c r="BY36" i="5"/>
  <c r="BZ36" i="5"/>
  <c r="CA36" i="5"/>
  <c r="CC36" i="5"/>
  <c r="CD36" i="5"/>
  <c r="CE36" i="5"/>
  <c r="CF36" i="5"/>
  <c r="CG36" i="5"/>
  <c r="CH36" i="5"/>
  <c r="CI36" i="5"/>
  <c r="CJ36" i="5"/>
  <c r="CK36" i="5"/>
  <c r="CL36" i="5"/>
  <c r="CM36" i="5"/>
  <c r="CN36" i="5"/>
  <c r="CO36" i="5"/>
  <c r="CP36" i="5"/>
  <c r="CQ36" i="5"/>
  <c r="CR36" i="5"/>
  <c r="CS36" i="5"/>
  <c r="CT36" i="5"/>
  <c r="CU36" i="5"/>
  <c r="CV36" i="5"/>
  <c r="CW36" i="5"/>
  <c r="CX36" i="5"/>
  <c r="CY36" i="5"/>
  <c r="CZ36" i="5"/>
  <c r="DA36" i="5"/>
  <c r="DB36" i="5"/>
  <c r="DC36" i="5"/>
  <c r="DD36" i="5"/>
  <c r="DE36" i="5"/>
  <c r="DF36" i="5"/>
  <c r="DG36" i="5"/>
  <c r="DH36" i="5"/>
  <c r="DI36" i="5"/>
  <c r="DJ36" i="5"/>
  <c r="DK36" i="5"/>
  <c r="DL36" i="5"/>
  <c r="DM36" i="5"/>
  <c r="DN36" i="5"/>
  <c r="DO36" i="5"/>
  <c r="DP36" i="5"/>
  <c r="DQ36" i="5"/>
  <c r="DR36" i="5"/>
  <c r="DS36" i="5"/>
  <c r="DT36" i="5"/>
  <c r="DU36" i="5"/>
  <c r="DV36" i="5"/>
  <c r="DW36" i="5"/>
  <c r="DX36" i="5"/>
  <c r="DY36" i="5"/>
  <c r="DZ36" i="5"/>
  <c r="EA36" i="5"/>
  <c r="EB36" i="5"/>
  <c r="EC36" i="5"/>
  <c r="ED36" i="5"/>
  <c r="EE36" i="5"/>
  <c r="EF36" i="5"/>
  <c r="EG36" i="5"/>
  <c r="EH36" i="5"/>
  <c r="EI36" i="5"/>
  <c r="EJ36" i="5"/>
  <c r="EK36" i="5"/>
  <c r="EL36" i="5"/>
  <c r="EM36" i="5"/>
  <c r="EN36" i="5"/>
  <c r="EO36" i="5"/>
  <c r="EP36" i="5"/>
  <c r="EQ36" i="5"/>
  <c r="ER36" i="5"/>
  <c r="ES36" i="5"/>
  <c r="ET36" i="5"/>
  <c r="EU36" i="5"/>
  <c r="EV36" i="5"/>
  <c r="EW36" i="5"/>
  <c r="EX36" i="5"/>
  <c r="EY36" i="5"/>
  <c r="EZ36" i="5"/>
  <c r="FA36" i="5"/>
  <c r="FB36" i="5"/>
  <c r="FC36" i="5"/>
  <c r="FD36" i="5"/>
  <c r="FE36" i="5"/>
  <c r="FF36" i="5"/>
  <c r="FG36" i="5"/>
  <c r="FH36" i="5"/>
  <c r="FI36" i="5"/>
  <c r="FJ36" i="5"/>
  <c r="FK36" i="5"/>
  <c r="FL36" i="5"/>
  <c r="FM36" i="5"/>
  <c r="FN36" i="5"/>
  <c r="FO36" i="5"/>
  <c r="FP36" i="5"/>
  <c r="FQ36" i="5"/>
  <c r="FR36" i="5"/>
  <c r="FS36" i="5"/>
  <c r="FT36" i="5"/>
  <c r="FU36" i="5"/>
  <c r="FV36" i="5"/>
  <c r="FW36" i="5"/>
  <c r="FX36" i="5"/>
  <c r="FY36" i="5"/>
  <c r="FZ36" i="5"/>
  <c r="GA36" i="5"/>
  <c r="GB36" i="5"/>
  <c r="GC36" i="5"/>
  <c r="GD36" i="5"/>
  <c r="GE36" i="5"/>
  <c r="GF36" i="5"/>
  <c r="GG36" i="5"/>
  <c r="GH36" i="5"/>
  <c r="GI36" i="5"/>
  <c r="GJ36" i="5"/>
  <c r="GK36" i="5"/>
  <c r="GL36" i="5"/>
  <c r="GM36" i="5"/>
  <c r="GN36" i="5"/>
  <c r="GO36" i="5"/>
  <c r="GP36" i="5"/>
  <c r="GQ36" i="5"/>
  <c r="GR36" i="5"/>
  <c r="GS36" i="5"/>
  <c r="GT36" i="5"/>
  <c r="GU36" i="5"/>
  <c r="GV36" i="5"/>
  <c r="GW36" i="5"/>
  <c r="GX36" i="5"/>
  <c r="GY36" i="5"/>
  <c r="GZ36" i="5"/>
  <c r="HA36" i="5"/>
  <c r="HB36" i="5"/>
  <c r="HC36" i="5"/>
  <c r="HD36" i="5"/>
  <c r="HE36" i="5"/>
  <c r="HF36" i="5"/>
  <c r="HG36" i="5"/>
  <c r="HH36" i="5"/>
  <c r="HI36" i="5"/>
  <c r="HJ36" i="5"/>
  <c r="HK36" i="5"/>
  <c r="HL36" i="5"/>
  <c r="HM36" i="5"/>
  <c r="HN36" i="5"/>
  <c r="HO36" i="5"/>
  <c r="HP36" i="5"/>
  <c r="HQ36" i="5"/>
  <c r="HR36" i="5"/>
  <c r="HS36" i="5"/>
  <c r="HT36" i="5"/>
  <c r="HU36" i="5"/>
  <c r="HV36" i="5"/>
  <c r="HW36" i="5"/>
  <c r="HX36" i="5"/>
  <c r="HY36" i="5"/>
  <c r="HZ36" i="5"/>
  <c r="IA36" i="5"/>
  <c r="IB36" i="5"/>
  <c r="IC36" i="5"/>
  <c r="ID36" i="5"/>
  <c r="IE36" i="5"/>
  <c r="IF36" i="5"/>
  <c r="IG36" i="5"/>
  <c r="IH36" i="5"/>
  <c r="II36" i="5"/>
  <c r="IJ36" i="5"/>
  <c r="IK36" i="5"/>
  <c r="IL36" i="5"/>
  <c r="IM36" i="5"/>
  <c r="IN36" i="5"/>
  <c r="IO36" i="5"/>
  <c r="IP36" i="5"/>
  <c r="IQ36" i="5"/>
  <c r="IR36" i="5"/>
  <c r="IS36" i="5"/>
  <c r="IT36" i="5"/>
  <c r="IU36" i="5"/>
  <c r="IV36" i="5"/>
  <c r="A35" i="5"/>
  <c r="B35" i="5"/>
  <c r="C35" i="5"/>
  <c r="D35" i="5"/>
  <c r="E35" i="5"/>
  <c r="F35" i="5"/>
  <c r="G35" i="5"/>
  <c r="H35" i="5"/>
  <c r="I35" i="5"/>
  <c r="J35" i="5"/>
  <c r="K35" i="5"/>
  <c r="L35" i="5"/>
  <c r="M35" i="5"/>
  <c r="N35" i="5"/>
  <c r="O35" i="5"/>
  <c r="P35" i="5"/>
  <c r="Q35" i="5"/>
  <c r="R35" i="5"/>
  <c r="S35" i="5"/>
  <c r="T35" i="5"/>
  <c r="U35" i="5"/>
  <c r="V35" i="5"/>
  <c r="W35" i="5"/>
  <c r="X35" i="5"/>
  <c r="Y35" i="5"/>
  <c r="Z35" i="5"/>
  <c r="AA35" i="5"/>
  <c r="AB35" i="5"/>
  <c r="AC35" i="5"/>
  <c r="AD35" i="5"/>
  <c r="AE35" i="5"/>
  <c r="AF35" i="5"/>
  <c r="AG35" i="5"/>
  <c r="AH35" i="5"/>
  <c r="AI35" i="5"/>
  <c r="AJ35" i="5"/>
  <c r="AK35" i="5"/>
  <c r="AL35" i="5"/>
  <c r="AM35" i="5"/>
  <c r="AN35" i="5"/>
  <c r="AO35" i="5"/>
  <c r="AP35" i="5"/>
  <c r="AQ35" i="5"/>
  <c r="AR35" i="5"/>
  <c r="AS35" i="5"/>
  <c r="AT35" i="5"/>
  <c r="AU35" i="5"/>
  <c r="AV35" i="5"/>
  <c r="AW35" i="5"/>
  <c r="AX35" i="5"/>
  <c r="AY35" i="5"/>
  <c r="AZ35" i="5"/>
  <c r="BA35" i="5"/>
  <c r="BB35" i="5"/>
  <c r="BC35" i="5"/>
  <c r="BD35" i="5"/>
  <c r="BE35" i="5"/>
  <c r="BF35" i="5"/>
  <c r="BG35" i="5"/>
  <c r="BH35" i="5"/>
  <c r="BI35" i="5"/>
  <c r="BJ35" i="5"/>
  <c r="BK35" i="5"/>
  <c r="BL35" i="5"/>
  <c r="BM35" i="5"/>
  <c r="BN35" i="5"/>
  <c r="BO35" i="5"/>
  <c r="BP35" i="5"/>
  <c r="BQ35" i="5"/>
  <c r="BR35" i="5"/>
  <c r="BS35" i="5"/>
  <c r="BT35" i="5"/>
  <c r="BU35" i="5"/>
  <c r="BV35" i="5"/>
  <c r="BW35" i="5"/>
  <c r="BX35" i="5"/>
  <c r="BY35" i="5"/>
  <c r="BZ35" i="5"/>
  <c r="CA35" i="5"/>
  <c r="CB35" i="5"/>
  <c r="CC35" i="5"/>
  <c r="CD35" i="5"/>
  <c r="CE35" i="5"/>
  <c r="CF35" i="5"/>
  <c r="CG35" i="5"/>
  <c r="CH35" i="5"/>
  <c r="CI35" i="5"/>
  <c r="CJ35" i="5"/>
  <c r="CK35" i="5"/>
  <c r="CL35" i="5"/>
  <c r="CM35" i="5"/>
  <c r="CN35" i="5"/>
  <c r="CO35" i="5"/>
  <c r="CP35" i="5"/>
  <c r="CQ35" i="5"/>
  <c r="CR35" i="5"/>
  <c r="CS35" i="5"/>
  <c r="CT35" i="5"/>
  <c r="CU35" i="5"/>
  <c r="CV35" i="5"/>
  <c r="CW35" i="5"/>
  <c r="CX35" i="5"/>
  <c r="CY35" i="5"/>
  <c r="CZ35" i="5"/>
  <c r="DA35" i="5"/>
  <c r="DB35" i="5"/>
  <c r="DC35" i="5"/>
  <c r="DD35" i="5"/>
  <c r="DE35" i="5"/>
  <c r="DF35" i="5"/>
  <c r="DG35" i="5"/>
  <c r="DH35" i="5"/>
  <c r="DI35" i="5"/>
  <c r="DJ35" i="5"/>
  <c r="DK35" i="5"/>
  <c r="DL35" i="5"/>
  <c r="DM35" i="5"/>
  <c r="DN35" i="5"/>
  <c r="DO35" i="5"/>
  <c r="DP35" i="5"/>
  <c r="DQ35" i="5"/>
  <c r="DR35" i="5"/>
  <c r="DS35" i="5"/>
  <c r="DT35" i="5"/>
  <c r="DU35" i="5"/>
  <c r="DV35" i="5"/>
  <c r="DW35" i="5"/>
  <c r="DX35" i="5"/>
  <c r="DY35" i="5"/>
  <c r="DZ35" i="5"/>
  <c r="EA35" i="5"/>
  <c r="EB35" i="5"/>
  <c r="EC35" i="5"/>
  <c r="ED35" i="5"/>
  <c r="EE35" i="5"/>
  <c r="EF35" i="5"/>
  <c r="EG35" i="5"/>
  <c r="EH35" i="5"/>
  <c r="EI35" i="5"/>
  <c r="EJ35" i="5"/>
  <c r="EK35" i="5"/>
  <c r="EL35" i="5"/>
  <c r="EM35" i="5"/>
  <c r="EN35" i="5"/>
  <c r="EO35" i="5"/>
  <c r="EP35" i="5"/>
  <c r="EQ35" i="5"/>
  <c r="ER35" i="5"/>
  <c r="ES35" i="5"/>
  <c r="ET35" i="5"/>
  <c r="EU35" i="5"/>
  <c r="EV35" i="5"/>
  <c r="EW35" i="5"/>
  <c r="EX35" i="5"/>
  <c r="EY35" i="5"/>
  <c r="EZ35" i="5"/>
  <c r="FA35" i="5"/>
  <c r="FB35" i="5"/>
  <c r="FC35" i="5"/>
  <c r="FD35" i="5"/>
  <c r="FE35" i="5"/>
  <c r="FF35" i="5"/>
  <c r="FG35" i="5"/>
  <c r="FH35" i="5"/>
  <c r="FI35" i="5"/>
  <c r="FJ35" i="5"/>
  <c r="FK35" i="5"/>
  <c r="FL35" i="5"/>
  <c r="FM35" i="5"/>
  <c r="FN35" i="5"/>
  <c r="FO35" i="5"/>
  <c r="FP35" i="5"/>
  <c r="FQ35" i="5"/>
  <c r="FR35" i="5"/>
  <c r="FS35" i="5"/>
  <c r="FT35" i="5"/>
  <c r="FU35" i="5"/>
  <c r="FV35" i="5"/>
  <c r="FW35" i="5"/>
  <c r="FX35" i="5"/>
  <c r="FY35" i="5"/>
  <c r="FZ35" i="5"/>
  <c r="GA35" i="5"/>
  <c r="GB35" i="5"/>
  <c r="GC35" i="5"/>
  <c r="GD35" i="5"/>
  <c r="GE35" i="5"/>
  <c r="GF35" i="5"/>
  <c r="GG35" i="5"/>
  <c r="GH35" i="5"/>
  <c r="GI35" i="5"/>
  <c r="GJ35" i="5"/>
  <c r="GK35" i="5"/>
  <c r="GL35" i="5"/>
  <c r="GM35" i="5"/>
  <c r="GN35" i="5"/>
  <c r="GO35" i="5"/>
  <c r="GP35" i="5"/>
  <c r="GQ35" i="5"/>
  <c r="GR35" i="5"/>
  <c r="GS35" i="5"/>
  <c r="GT35" i="5"/>
  <c r="GU35" i="5"/>
  <c r="GV35" i="5"/>
  <c r="GW35" i="5"/>
  <c r="GX35" i="5"/>
  <c r="GY35" i="5"/>
  <c r="GZ35" i="5"/>
  <c r="HA35" i="5"/>
  <c r="HB35" i="5"/>
  <c r="HC35" i="5"/>
  <c r="HD35" i="5"/>
  <c r="HE35" i="5"/>
  <c r="HF35" i="5"/>
  <c r="HG35" i="5"/>
  <c r="HH35" i="5"/>
  <c r="HI35" i="5"/>
  <c r="HJ35" i="5"/>
  <c r="HK35" i="5"/>
  <c r="HL35" i="5"/>
  <c r="HM35" i="5"/>
  <c r="HN35" i="5"/>
  <c r="HO35" i="5"/>
  <c r="HP35" i="5"/>
  <c r="HQ35" i="5"/>
  <c r="HR35" i="5"/>
  <c r="HS35" i="5"/>
  <c r="HT35" i="5"/>
  <c r="HU35" i="5"/>
  <c r="HV35" i="5"/>
  <c r="HW35" i="5"/>
  <c r="HX35" i="5"/>
  <c r="HY35" i="5"/>
  <c r="HZ35" i="5"/>
  <c r="IA35" i="5"/>
  <c r="IB35" i="5"/>
  <c r="IC35" i="5"/>
  <c r="ID35" i="5"/>
  <c r="IE35" i="5"/>
  <c r="IF35" i="5"/>
  <c r="IG35" i="5"/>
  <c r="IH35" i="5"/>
  <c r="II35" i="5"/>
  <c r="IJ35" i="5"/>
  <c r="IK35" i="5"/>
  <c r="IL35" i="5"/>
  <c r="IM35" i="5"/>
  <c r="IN35" i="5"/>
  <c r="IO35" i="5"/>
  <c r="IP35" i="5"/>
  <c r="IQ35" i="5"/>
  <c r="IR35" i="5"/>
  <c r="IS35" i="5"/>
  <c r="IT35" i="5"/>
  <c r="IU35" i="5"/>
  <c r="IV35" i="5"/>
  <c r="A34" i="5"/>
  <c r="B34" i="5"/>
  <c r="C34" i="5"/>
  <c r="D34" i="5"/>
  <c r="E34" i="5"/>
  <c r="F34" i="5"/>
  <c r="G34" i="5"/>
  <c r="H34" i="5"/>
  <c r="I34" i="5"/>
  <c r="J34" i="5"/>
  <c r="K34" i="5"/>
  <c r="L34" i="5"/>
  <c r="M34" i="5"/>
  <c r="N34" i="5"/>
  <c r="O34" i="5"/>
  <c r="P34" i="5"/>
  <c r="Q34" i="5"/>
  <c r="R34" i="5"/>
  <c r="S34" i="5"/>
  <c r="T34" i="5"/>
  <c r="U34" i="5"/>
  <c r="V34" i="5"/>
  <c r="W34" i="5"/>
  <c r="X34" i="5"/>
  <c r="Y34" i="5"/>
  <c r="Z34" i="5"/>
  <c r="AA34" i="5"/>
  <c r="AB34" i="5"/>
  <c r="AC34" i="5"/>
  <c r="AD34" i="5"/>
  <c r="AE34" i="5"/>
  <c r="AF34" i="5"/>
  <c r="AG34" i="5"/>
  <c r="AH34" i="5"/>
  <c r="AI34" i="5"/>
  <c r="AJ34" i="5"/>
  <c r="AK34" i="5"/>
  <c r="AL34" i="5"/>
  <c r="AM34" i="5"/>
  <c r="AO34" i="5"/>
  <c r="AP34" i="5"/>
  <c r="AQ34" i="5"/>
  <c r="AR34" i="5"/>
  <c r="AS34" i="5"/>
  <c r="AT34" i="5"/>
  <c r="AU34" i="5"/>
  <c r="AV34" i="5"/>
  <c r="AW34" i="5"/>
  <c r="AX34" i="5"/>
  <c r="AY34" i="5"/>
  <c r="AZ34" i="5"/>
  <c r="BA34" i="5"/>
  <c r="BB34" i="5"/>
  <c r="BC34" i="5"/>
  <c r="BD34" i="5"/>
  <c r="BE34" i="5"/>
  <c r="BF34" i="5"/>
  <c r="BG34" i="5"/>
  <c r="BH34" i="5"/>
  <c r="BI34" i="5"/>
  <c r="BJ34" i="5"/>
  <c r="BK34" i="5"/>
  <c r="BL34" i="5"/>
  <c r="BM34" i="5"/>
  <c r="BN34" i="5"/>
  <c r="BO34" i="5"/>
  <c r="BP34" i="5"/>
  <c r="BQ34" i="5"/>
  <c r="BR34" i="5"/>
  <c r="BS34" i="5"/>
  <c r="BT34" i="5"/>
  <c r="BU34" i="5"/>
  <c r="BV34" i="5"/>
  <c r="BW34" i="5"/>
  <c r="BX34" i="5"/>
  <c r="BY34" i="5"/>
  <c r="BZ34" i="5"/>
  <c r="CA34" i="5"/>
  <c r="CB34" i="5"/>
  <c r="CC34" i="5"/>
  <c r="CD34" i="5"/>
  <c r="CE34" i="5"/>
  <c r="CF34" i="5"/>
  <c r="CG34" i="5"/>
  <c r="CH34" i="5"/>
  <c r="CI34" i="5"/>
  <c r="CJ34" i="5"/>
  <c r="CK34" i="5"/>
  <c r="CL34" i="5"/>
  <c r="CM34" i="5"/>
  <c r="CN34" i="5"/>
  <c r="CO34" i="5"/>
  <c r="CP34" i="5"/>
  <c r="CQ34" i="5"/>
  <c r="CR34" i="5"/>
  <c r="CS34" i="5"/>
  <c r="CT34" i="5"/>
  <c r="CU34" i="5"/>
  <c r="CV34" i="5"/>
  <c r="CW34" i="5"/>
  <c r="CX34" i="5"/>
  <c r="CY34" i="5"/>
  <c r="CZ34" i="5"/>
  <c r="DA34" i="5"/>
  <c r="DB34" i="5"/>
  <c r="DC34" i="5"/>
  <c r="DD34" i="5"/>
  <c r="DE34" i="5"/>
  <c r="DF34" i="5"/>
  <c r="DG34" i="5"/>
  <c r="DH34" i="5"/>
  <c r="DI34" i="5"/>
  <c r="DJ34" i="5"/>
  <c r="DK34" i="5"/>
  <c r="DL34" i="5"/>
  <c r="DM34" i="5"/>
  <c r="DN34" i="5"/>
  <c r="DO34" i="5"/>
  <c r="DP34" i="5"/>
  <c r="DQ34" i="5"/>
  <c r="DR34" i="5"/>
  <c r="DS34" i="5"/>
  <c r="DT34" i="5"/>
  <c r="DU34" i="5"/>
  <c r="DV34" i="5"/>
  <c r="DW34" i="5"/>
  <c r="DX34" i="5"/>
  <c r="DY34" i="5"/>
  <c r="DZ34" i="5"/>
  <c r="EA34" i="5"/>
  <c r="EB34" i="5"/>
  <c r="EC34" i="5"/>
  <c r="ED34" i="5"/>
  <c r="EE34" i="5"/>
  <c r="EF34" i="5"/>
  <c r="EG34" i="5"/>
  <c r="EH34" i="5"/>
  <c r="EI34" i="5"/>
  <c r="EJ34" i="5"/>
  <c r="EK34" i="5"/>
  <c r="EL34" i="5"/>
  <c r="EM34" i="5"/>
  <c r="EN34" i="5"/>
  <c r="EO34" i="5"/>
  <c r="EP34" i="5"/>
  <c r="EQ34" i="5"/>
  <c r="ER34" i="5"/>
  <c r="ES34" i="5"/>
  <c r="ET34" i="5"/>
  <c r="EU34" i="5"/>
  <c r="EV34" i="5"/>
  <c r="EW34" i="5"/>
  <c r="EX34" i="5"/>
  <c r="EY34" i="5"/>
  <c r="EZ34" i="5"/>
  <c r="FA34" i="5"/>
  <c r="FB34" i="5"/>
  <c r="FC34" i="5"/>
  <c r="FD34" i="5"/>
  <c r="FE34" i="5"/>
  <c r="FF34" i="5"/>
  <c r="FG34" i="5"/>
  <c r="FH34" i="5"/>
  <c r="FI34" i="5"/>
  <c r="FJ34" i="5"/>
  <c r="FK34" i="5"/>
  <c r="FL34" i="5"/>
  <c r="FM34" i="5"/>
  <c r="FN34" i="5"/>
  <c r="FO34" i="5"/>
  <c r="FP34" i="5"/>
  <c r="FQ34" i="5"/>
  <c r="FR34" i="5"/>
  <c r="FS34" i="5"/>
  <c r="FT34" i="5"/>
  <c r="FU34" i="5"/>
  <c r="FV34" i="5"/>
  <c r="FW34" i="5"/>
  <c r="FX34" i="5"/>
  <c r="FY34" i="5"/>
  <c r="FZ34" i="5"/>
  <c r="GA34" i="5"/>
  <c r="GB34" i="5"/>
  <c r="GC34" i="5"/>
  <c r="GD34" i="5"/>
  <c r="GE34" i="5"/>
  <c r="GF34" i="5"/>
  <c r="GG34" i="5"/>
  <c r="GH34" i="5"/>
  <c r="GI34" i="5"/>
  <c r="GJ34" i="5"/>
  <c r="GK34" i="5"/>
  <c r="GL34" i="5"/>
  <c r="GM34" i="5"/>
  <c r="GN34" i="5"/>
  <c r="GO34" i="5"/>
  <c r="GP34" i="5"/>
  <c r="GQ34" i="5"/>
  <c r="GR34" i="5"/>
  <c r="GS34" i="5"/>
  <c r="GT34" i="5"/>
  <c r="GU34" i="5"/>
  <c r="GV34" i="5"/>
  <c r="GW34" i="5"/>
  <c r="GX34" i="5"/>
  <c r="GY34" i="5"/>
  <c r="GZ34" i="5"/>
  <c r="HA34" i="5"/>
  <c r="HB34" i="5"/>
  <c r="HC34" i="5"/>
  <c r="HD34" i="5"/>
  <c r="HE34" i="5"/>
  <c r="HF34" i="5"/>
  <c r="HG34" i="5"/>
  <c r="HH34" i="5"/>
  <c r="HI34" i="5"/>
  <c r="HJ34" i="5"/>
  <c r="HK34" i="5"/>
  <c r="HL34" i="5"/>
  <c r="HM34" i="5"/>
  <c r="HN34" i="5"/>
  <c r="HO34" i="5"/>
  <c r="HP34" i="5"/>
  <c r="HQ34" i="5"/>
  <c r="HR34" i="5"/>
  <c r="HS34" i="5"/>
  <c r="HT34" i="5"/>
  <c r="HU34" i="5"/>
  <c r="HV34" i="5"/>
  <c r="HW34" i="5"/>
  <c r="HX34" i="5"/>
  <c r="HY34" i="5"/>
  <c r="HZ34" i="5"/>
  <c r="IA34" i="5"/>
  <c r="IB34" i="5"/>
  <c r="IC34" i="5"/>
  <c r="ID34" i="5"/>
  <c r="IE34" i="5"/>
  <c r="IF34" i="5"/>
  <c r="IG34" i="5"/>
  <c r="IH34" i="5"/>
  <c r="II34" i="5"/>
  <c r="IJ34" i="5"/>
  <c r="IK34" i="5"/>
  <c r="IL34" i="5"/>
  <c r="IM34" i="5"/>
  <c r="IN34" i="5"/>
  <c r="IO34" i="5"/>
  <c r="IP34" i="5"/>
  <c r="IQ34" i="5"/>
  <c r="IR34" i="5"/>
  <c r="IS34" i="5"/>
  <c r="IT34" i="5"/>
  <c r="IU34" i="5"/>
  <c r="IV34" i="5"/>
  <c r="A33" i="5"/>
  <c r="B33" i="5"/>
  <c r="C33" i="5"/>
  <c r="D33" i="5"/>
  <c r="E33" i="5"/>
  <c r="F33" i="5"/>
  <c r="G33" i="5"/>
  <c r="H33" i="5"/>
  <c r="I33" i="5"/>
  <c r="J33" i="5"/>
  <c r="K33" i="5"/>
  <c r="L33" i="5"/>
  <c r="M33" i="5"/>
  <c r="N33" i="5"/>
  <c r="O33" i="5"/>
  <c r="P33" i="5"/>
  <c r="Q33" i="5"/>
  <c r="R33" i="5"/>
  <c r="S33" i="5"/>
  <c r="T33" i="5"/>
  <c r="U33" i="5"/>
  <c r="V33" i="5"/>
  <c r="W33" i="5"/>
  <c r="X33" i="5"/>
  <c r="Y33" i="5"/>
  <c r="Z33" i="5"/>
  <c r="AA33" i="5"/>
  <c r="AB33" i="5"/>
  <c r="AC33" i="5"/>
  <c r="AD33" i="5"/>
  <c r="AE33" i="5"/>
  <c r="AF33" i="5"/>
  <c r="AG33" i="5"/>
  <c r="AH33" i="5"/>
  <c r="AI33" i="5"/>
  <c r="AJ33" i="5"/>
  <c r="AK33" i="5"/>
  <c r="AL33" i="5"/>
  <c r="AM33" i="5"/>
  <c r="AN33" i="5"/>
  <c r="AO33" i="5"/>
  <c r="AP33" i="5"/>
  <c r="AQ33" i="5"/>
  <c r="AR33" i="5"/>
  <c r="AS33" i="5"/>
  <c r="AT33" i="5"/>
  <c r="AU33" i="5"/>
  <c r="AV33" i="5"/>
  <c r="AW33" i="5"/>
  <c r="AX33" i="5"/>
  <c r="AY33" i="5"/>
  <c r="AZ33" i="5"/>
  <c r="BA33" i="5"/>
  <c r="BB33" i="5"/>
  <c r="BC33" i="5"/>
  <c r="BD33" i="5"/>
  <c r="BE33" i="5"/>
  <c r="BF33" i="5"/>
  <c r="BG33" i="5"/>
  <c r="BH33" i="5"/>
  <c r="BI33" i="5"/>
  <c r="BJ33" i="5"/>
  <c r="BK33" i="5"/>
  <c r="BL33" i="5"/>
  <c r="BM33" i="5"/>
  <c r="BN33" i="5"/>
  <c r="BO33" i="5"/>
  <c r="BP33" i="5"/>
  <c r="BQ33" i="5"/>
  <c r="BR33" i="5"/>
  <c r="BS33" i="5"/>
  <c r="BT33" i="5"/>
  <c r="BU33" i="5"/>
  <c r="BV33" i="5"/>
  <c r="BW33" i="5"/>
  <c r="BX33" i="5"/>
  <c r="BY33" i="5"/>
  <c r="BZ33" i="5"/>
  <c r="CA33" i="5"/>
  <c r="CB33" i="5"/>
  <c r="CC33" i="5"/>
  <c r="CD33" i="5"/>
  <c r="CE33" i="5"/>
  <c r="CF33" i="5"/>
  <c r="CG33" i="5"/>
  <c r="CH33" i="5"/>
  <c r="CI33" i="5"/>
  <c r="CJ33" i="5"/>
  <c r="CK33" i="5"/>
  <c r="CL33" i="5"/>
  <c r="CM33" i="5"/>
  <c r="CN33" i="5"/>
  <c r="CO33" i="5"/>
  <c r="CP33" i="5"/>
  <c r="CQ33" i="5"/>
  <c r="CR33" i="5"/>
  <c r="CS33" i="5"/>
  <c r="CT33" i="5"/>
  <c r="CU33" i="5"/>
  <c r="CV33" i="5"/>
  <c r="CW33" i="5"/>
  <c r="CX33" i="5"/>
  <c r="CY33" i="5"/>
  <c r="CZ33" i="5"/>
  <c r="DA33" i="5"/>
  <c r="DB33" i="5"/>
  <c r="DC33" i="5"/>
  <c r="DD33" i="5"/>
  <c r="DE33" i="5"/>
  <c r="DF33" i="5"/>
  <c r="DG33" i="5"/>
  <c r="DH33" i="5"/>
  <c r="DI33" i="5"/>
  <c r="DJ33" i="5"/>
  <c r="DK33" i="5"/>
  <c r="DL33" i="5"/>
  <c r="DM33" i="5"/>
  <c r="DN33" i="5"/>
  <c r="DO33" i="5"/>
  <c r="DP33" i="5"/>
  <c r="DQ33" i="5"/>
  <c r="DR33" i="5"/>
  <c r="DS33" i="5"/>
  <c r="DT33" i="5"/>
  <c r="DU33" i="5"/>
  <c r="DV33" i="5"/>
  <c r="DW33" i="5"/>
  <c r="DX33" i="5"/>
  <c r="DY33" i="5"/>
  <c r="DZ33" i="5"/>
  <c r="EA33" i="5"/>
  <c r="EB33" i="5"/>
  <c r="EC33" i="5"/>
  <c r="ED33" i="5"/>
  <c r="EE33" i="5"/>
  <c r="EF33" i="5"/>
  <c r="EG33" i="5"/>
  <c r="EH33" i="5"/>
  <c r="EI33" i="5"/>
  <c r="EJ33" i="5"/>
  <c r="EK33" i="5"/>
  <c r="EL33" i="5"/>
  <c r="EM33" i="5"/>
  <c r="EN33" i="5"/>
  <c r="EO33" i="5"/>
  <c r="EP33" i="5"/>
  <c r="EQ33" i="5"/>
  <c r="ER33" i="5"/>
  <c r="ES33" i="5"/>
  <c r="ET33" i="5"/>
  <c r="EU33" i="5"/>
  <c r="EV33" i="5"/>
  <c r="EW33" i="5"/>
  <c r="EX33" i="5"/>
  <c r="EY33" i="5"/>
  <c r="EZ33" i="5"/>
  <c r="FA33" i="5"/>
  <c r="FB33" i="5"/>
  <c r="FC33" i="5"/>
  <c r="FD33" i="5"/>
  <c r="FE33" i="5"/>
  <c r="FF33" i="5"/>
  <c r="FG33" i="5"/>
  <c r="FH33" i="5"/>
  <c r="FI33" i="5"/>
  <c r="FJ33" i="5"/>
  <c r="FK33" i="5"/>
  <c r="FL33" i="5"/>
  <c r="FM33" i="5"/>
  <c r="FN33" i="5"/>
  <c r="FO33" i="5"/>
  <c r="FP33" i="5"/>
  <c r="FQ33" i="5"/>
  <c r="FR33" i="5"/>
  <c r="FS33" i="5"/>
  <c r="FT33" i="5"/>
  <c r="FU33" i="5"/>
  <c r="FV33" i="5"/>
  <c r="FW33" i="5"/>
  <c r="FX33" i="5"/>
  <c r="FY33" i="5"/>
  <c r="FZ33" i="5"/>
  <c r="GA33" i="5"/>
  <c r="GB33" i="5"/>
  <c r="GC33" i="5"/>
  <c r="GD33" i="5"/>
  <c r="GE33" i="5"/>
  <c r="GF33" i="5"/>
  <c r="GG33" i="5"/>
  <c r="GH33" i="5"/>
  <c r="GI33" i="5"/>
  <c r="GJ33" i="5"/>
  <c r="GK33" i="5"/>
  <c r="GL33" i="5"/>
  <c r="GM33" i="5"/>
  <c r="GN33" i="5"/>
  <c r="GO33" i="5"/>
  <c r="GP33" i="5"/>
  <c r="GQ33" i="5"/>
  <c r="GR33" i="5"/>
  <c r="GS33" i="5"/>
  <c r="GT33" i="5"/>
  <c r="GU33" i="5"/>
  <c r="GV33" i="5"/>
  <c r="GW33" i="5"/>
  <c r="GX33" i="5"/>
  <c r="GY33" i="5"/>
  <c r="GZ33" i="5"/>
  <c r="HA33" i="5"/>
  <c r="HB33" i="5"/>
  <c r="HC33" i="5"/>
  <c r="HD33" i="5"/>
  <c r="HE33" i="5"/>
  <c r="HF33" i="5"/>
  <c r="HG33" i="5"/>
  <c r="HH33" i="5"/>
  <c r="HI33" i="5"/>
  <c r="HJ33" i="5"/>
  <c r="HK33" i="5"/>
  <c r="HL33" i="5"/>
  <c r="HM33" i="5"/>
  <c r="HN33" i="5"/>
  <c r="HO33" i="5"/>
  <c r="HP33" i="5"/>
  <c r="HQ33" i="5"/>
  <c r="HR33" i="5"/>
  <c r="HS33" i="5"/>
  <c r="HT33" i="5"/>
  <c r="HU33" i="5"/>
  <c r="HV33" i="5"/>
  <c r="HW33" i="5"/>
  <c r="HX33" i="5"/>
  <c r="HY33" i="5"/>
  <c r="HZ33" i="5"/>
  <c r="IA33" i="5"/>
  <c r="IB33" i="5"/>
  <c r="IC33" i="5"/>
  <c r="ID33" i="5"/>
  <c r="IE33" i="5"/>
  <c r="IF33" i="5"/>
  <c r="IG33" i="5"/>
  <c r="IH33" i="5"/>
  <c r="II33" i="5"/>
  <c r="IJ33" i="5"/>
  <c r="IK33" i="5"/>
  <c r="IL33" i="5"/>
  <c r="IM33" i="5"/>
  <c r="IN33" i="5"/>
  <c r="IO33" i="5"/>
  <c r="IP33" i="5"/>
  <c r="IQ33" i="5"/>
  <c r="IR33" i="5"/>
  <c r="IS33" i="5"/>
  <c r="IT33" i="5"/>
  <c r="IU33" i="5"/>
  <c r="IV33" i="5"/>
  <c r="A32" i="5"/>
  <c r="B32" i="5"/>
  <c r="C32" i="5"/>
  <c r="D32" i="5"/>
  <c r="E32" i="5"/>
  <c r="F32" i="5"/>
  <c r="G32" i="5"/>
  <c r="H32" i="5"/>
  <c r="I32" i="5"/>
  <c r="J32" i="5"/>
  <c r="K32" i="5"/>
  <c r="L32" i="5"/>
  <c r="M32" i="5"/>
  <c r="N32" i="5"/>
  <c r="O32" i="5"/>
  <c r="P32" i="5"/>
  <c r="Q32" i="5"/>
  <c r="R32" i="5"/>
  <c r="S32" i="5"/>
  <c r="T32" i="5"/>
  <c r="U32" i="5"/>
  <c r="V32" i="5"/>
  <c r="W32" i="5"/>
  <c r="X32" i="5"/>
  <c r="Y32" i="5"/>
  <c r="Z32" i="5"/>
  <c r="AA32" i="5"/>
  <c r="AB32" i="5"/>
  <c r="AC32" i="5"/>
  <c r="AD32" i="5"/>
  <c r="AE32" i="5"/>
  <c r="AF32" i="5"/>
  <c r="AG32" i="5"/>
  <c r="AH32" i="5"/>
  <c r="AI32" i="5"/>
  <c r="AJ32" i="5"/>
  <c r="AK32" i="5"/>
  <c r="AL32" i="5"/>
  <c r="AM32" i="5"/>
  <c r="AN32" i="5"/>
  <c r="AO32" i="5"/>
  <c r="AP32" i="5"/>
  <c r="AQ32" i="5"/>
  <c r="AR32" i="5"/>
  <c r="AS32" i="5"/>
  <c r="AT32" i="5"/>
  <c r="AU32" i="5"/>
  <c r="AV32" i="5"/>
  <c r="AW32" i="5"/>
  <c r="AX32" i="5"/>
  <c r="AY32" i="5"/>
  <c r="AZ32" i="5"/>
  <c r="BA32" i="5"/>
  <c r="BB32" i="5"/>
  <c r="BC32" i="5"/>
  <c r="BD32" i="5"/>
  <c r="BE32" i="5"/>
  <c r="BF32" i="5"/>
  <c r="BG32" i="5"/>
  <c r="BH32" i="5"/>
  <c r="BI32" i="5"/>
  <c r="BJ32" i="5"/>
  <c r="BK32" i="5"/>
  <c r="BL32" i="5"/>
  <c r="BM32" i="5"/>
  <c r="BN32" i="5"/>
  <c r="BO32" i="5"/>
  <c r="BP32" i="5"/>
  <c r="BQ32" i="5"/>
  <c r="BR32" i="5"/>
  <c r="BS32" i="5"/>
  <c r="BT32" i="5"/>
  <c r="BU32" i="5"/>
  <c r="BV32" i="5"/>
  <c r="BW32" i="5"/>
  <c r="BX32" i="5"/>
  <c r="BY32" i="5"/>
  <c r="BZ32" i="5"/>
  <c r="CA32" i="5"/>
  <c r="CB32" i="5"/>
  <c r="CC32" i="5"/>
  <c r="CD32" i="5"/>
  <c r="CE32" i="5"/>
  <c r="CF32" i="5"/>
  <c r="CG32" i="5"/>
  <c r="CH32" i="5"/>
  <c r="CI32" i="5"/>
  <c r="CJ32" i="5"/>
  <c r="CK32" i="5"/>
  <c r="CL32" i="5"/>
  <c r="CM32" i="5"/>
  <c r="CN32" i="5"/>
  <c r="CO32" i="5"/>
  <c r="CP32" i="5"/>
  <c r="CQ32" i="5"/>
  <c r="CR32" i="5"/>
  <c r="CS32" i="5"/>
  <c r="CT32" i="5"/>
  <c r="CU32" i="5"/>
  <c r="CV32" i="5"/>
  <c r="CW32" i="5"/>
  <c r="CX32" i="5"/>
  <c r="CY32" i="5"/>
  <c r="CZ32" i="5"/>
  <c r="DA32" i="5"/>
  <c r="DB32" i="5"/>
  <c r="DC32" i="5"/>
  <c r="DD32" i="5"/>
  <c r="DE32" i="5"/>
  <c r="DF32" i="5"/>
  <c r="DG32" i="5"/>
  <c r="DH32" i="5"/>
  <c r="DI32" i="5"/>
  <c r="DJ32" i="5"/>
  <c r="DK32" i="5"/>
  <c r="DL32" i="5"/>
  <c r="DM32" i="5"/>
  <c r="DN32" i="5"/>
  <c r="DO32" i="5"/>
  <c r="DP32" i="5"/>
  <c r="DQ32" i="5"/>
  <c r="DR32" i="5"/>
  <c r="DS32" i="5"/>
  <c r="DT32" i="5"/>
  <c r="DU32" i="5"/>
  <c r="DV32" i="5"/>
  <c r="DW32" i="5"/>
  <c r="DX32" i="5"/>
  <c r="DY32" i="5"/>
  <c r="DZ32" i="5"/>
  <c r="EA32" i="5"/>
  <c r="EB32" i="5"/>
  <c r="EC32" i="5"/>
  <c r="ED32" i="5"/>
  <c r="EE32" i="5"/>
  <c r="EF32" i="5"/>
  <c r="EG32" i="5"/>
  <c r="EH32" i="5"/>
  <c r="EI32" i="5"/>
  <c r="EJ32" i="5"/>
  <c r="EK32" i="5"/>
  <c r="EL32" i="5"/>
  <c r="EM32" i="5"/>
  <c r="EN32" i="5"/>
  <c r="EO32" i="5"/>
  <c r="EP32" i="5"/>
  <c r="EQ32" i="5"/>
  <c r="ER32" i="5"/>
  <c r="ES32" i="5"/>
  <c r="ET32" i="5"/>
  <c r="EU32" i="5"/>
  <c r="EV32" i="5"/>
  <c r="EW32" i="5"/>
  <c r="EX32" i="5"/>
  <c r="EY32" i="5"/>
  <c r="EZ32" i="5"/>
  <c r="FA32" i="5"/>
  <c r="FB32" i="5"/>
  <c r="FC32" i="5"/>
  <c r="FD32" i="5"/>
  <c r="FE32" i="5"/>
  <c r="FF32" i="5"/>
  <c r="FG32" i="5"/>
  <c r="FH32" i="5"/>
  <c r="FI32" i="5"/>
  <c r="FJ32" i="5"/>
  <c r="FK32" i="5"/>
  <c r="FL32" i="5"/>
  <c r="FM32" i="5"/>
  <c r="FN32" i="5"/>
  <c r="FO32" i="5"/>
  <c r="FP32" i="5"/>
  <c r="FQ32" i="5"/>
  <c r="FR32" i="5"/>
  <c r="FS32" i="5"/>
  <c r="FT32" i="5"/>
  <c r="FU32" i="5"/>
  <c r="FV32" i="5"/>
  <c r="FW32" i="5"/>
  <c r="FX32" i="5"/>
  <c r="FY32" i="5"/>
  <c r="FZ32" i="5"/>
  <c r="GA32" i="5"/>
  <c r="GB32" i="5"/>
  <c r="GC32" i="5"/>
  <c r="GD32" i="5"/>
  <c r="GE32" i="5"/>
  <c r="GF32" i="5"/>
  <c r="GG32" i="5"/>
  <c r="GH32" i="5"/>
  <c r="GI32" i="5"/>
  <c r="GJ32" i="5"/>
  <c r="GK32" i="5"/>
  <c r="GL32" i="5"/>
  <c r="GM32" i="5"/>
  <c r="GN32" i="5"/>
  <c r="GO32" i="5"/>
  <c r="GP32" i="5"/>
  <c r="GQ32" i="5"/>
  <c r="GR32" i="5"/>
  <c r="GS32" i="5"/>
  <c r="GT32" i="5"/>
  <c r="GU32" i="5"/>
  <c r="GV32" i="5"/>
  <c r="GW32" i="5"/>
  <c r="GX32" i="5"/>
  <c r="GY32" i="5"/>
  <c r="GZ32" i="5"/>
  <c r="HA32" i="5"/>
  <c r="HB32" i="5"/>
  <c r="HC32" i="5"/>
  <c r="HD32" i="5"/>
  <c r="HE32" i="5"/>
  <c r="HF32" i="5"/>
  <c r="HG32" i="5"/>
  <c r="HH32" i="5"/>
  <c r="HI32" i="5"/>
  <c r="HJ32" i="5"/>
  <c r="HK32" i="5"/>
  <c r="HL32" i="5"/>
  <c r="HM32" i="5"/>
  <c r="HN32" i="5"/>
  <c r="HO32" i="5"/>
  <c r="HP32" i="5"/>
  <c r="HQ32" i="5"/>
  <c r="HR32" i="5"/>
  <c r="HS32" i="5"/>
  <c r="HT32" i="5"/>
  <c r="HU32" i="5"/>
  <c r="HV32" i="5"/>
  <c r="HW32" i="5"/>
  <c r="HX32" i="5"/>
  <c r="HY32" i="5"/>
  <c r="HZ32" i="5"/>
  <c r="IA32" i="5"/>
  <c r="IB32" i="5"/>
  <c r="IC32" i="5"/>
  <c r="ID32" i="5"/>
  <c r="IE32" i="5"/>
  <c r="IF32" i="5"/>
  <c r="IG32" i="5"/>
  <c r="IH32" i="5"/>
  <c r="II32" i="5"/>
  <c r="IJ32" i="5"/>
  <c r="IK32" i="5"/>
  <c r="IL32" i="5"/>
  <c r="IM32" i="5"/>
  <c r="IN32" i="5"/>
  <c r="IO32" i="5"/>
  <c r="IP32" i="5"/>
  <c r="IQ32" i="5"/>
  <c r="IR32" i="5"/>
  <c r="IS32" i="5"/>
  <c r="IT32" i="5"/>
  <c r="IU32" i="5"/>
  <c r="IV32" i="5"/>
  <c r="A31" i="5"/>
  <c r="B31" i="5"/>
  <c r="C31" i="5"/>
  <c r="D31" i="5"/>
  <c r="E31" i="5"/>
  <c r="F31" i="5"/>
  <c r="G31" i="5"/>
  <c r="H31" i="5"/>
  <c r="I31" i="5"/>
  <c r="J31" i="5"/>
  <c r="K31" i="5"/>
  <c r="L31" i="5"/>
  <c r="M31" i="5"/>
  <c r="N31" i="5"/>
  <c r="O31" i="5"/>
  <c r="P31" i="5"/>
  <c r="Q31" i="5"/>
  <c r="R31" i="5"/>
  <c r="S31" i="5"/>
  <c r="T31" i="5"/>
  <c r="U31" i="5"/>
  <c r="V31" i="5"/>
  <c r="W31" i="5"/>
  <c r="X31" i="5"/>
  <c r="Y31" i="5"/>
  <c r="Z31" i="5"/>
  <c r="AA31" i="5"/>
  <c r="AB31" i="5"/>
  <c r="AC31" i="5"/>
  <c r="AD31" i="5"/>
  <c r="AE31" i="5"/>
  <c r="AF31" i="5"/>
  <c r="AG31" i="5"/>
  <c r="AH31" i="5"/>
  <c r="AI31" i="5"/>
  <c r="AJ31" i="5"/>
  <c r="AK31" i="5"/>
  <c r="AL31" i="5"/>
  <c r="AM31" i="5"/>
  <c r="AN31" i="5"/>
  <c r="AO31" i="5"/>
  <c r="AP31" i="5"/>
  <c r="AQ31" i="5"/>
  <c r="AR31" i="5"/>
  <c r="AS31" i="5"/>
  <c r="AT31" i="5"/>
  <c r="AU31" i="5"/>
  <c r="AV31" i="5"/>
  <c r="AW31" i="5"/>
  <c r="AX31" i="5"/>
  <c r="AY31" i="5"/>
  <c r="AZ31" i="5"/>
  <c r="BA31" i="5"/>
  <c r="BB31" i="5"/>
  <c r="BC31" i="5"/>
  <c r="BD31" i="5"/>
  <c r="BE31" i="5"/>
  <c r="BF31" i="5"/>
  <c r="BG31" i="5"/>
  <c r="BH31" i="5"/>
  <c r="BI31" i="5"/>
  <c r="BJ31" i="5"/>
  <c r="BK31" i="5"/>
  <c r="BL31" i="5"/>
  <c r="BM31" i="5"/>
  <c r="BN31" i="5"/>
  <c r="BO31" i="5"/>
  <c r="BP31" i="5"/>
  <c r="BQ31" i="5"/>
  <c r="BR31" i="5"/>
  <c r="BS31" i="5"/>
  <c r="BT31" i="5"/>
  <c r="BU31" i="5"/>
  <c r="BV31" i="5"/>
  <c r="BW31" i="5"/>
  <c r="BX31" i="5"/>
  <c r="BY31" i="5"/>
  <c r="BZ31" i="5"/>
  <c r="CA31" i="5"/>
  <c r="CB31" i="5"/>
  <c r="CC31" i="5"/>
  <c r="CD31" i="5"/>
  <c r="CE31" i="5"/>
  <c r="CF31" i="5"/>
  <c r="CG31" i="5"/>
  <c r="CH31" i="5"/>
  <c r="CI31" i="5"/>
  <c r="CJ31" i="5"/>
  <c r="CK31" i="5"/>
  <c r="CL31" i="5"/>
  <c r="CM31" i="5"/>
  <c r="CN31" i="5"/>
  <c r="CO31" i="5"/>
  <c r="CP31" i="5"/>
  <c r="CQ31" i="5"/>
  <c r="CR31" i="5"/>
  <c r="CS31" i="5"/>
  <c r="CT31" i="5"/>
  <c r="CU31" i="5"/>
  <c r="CV31" i="5"/>
  <c r="CW31" i="5"/>
  <c r="CX31" i="5"/>
  <c r="CY31" i="5"/>
  <c r="CZ31" i="5"/>
  <c r="DA31" i="5"/>
  <c r="DB31" i="5"/>
  <c r="DC31" i="5"/>
  <c r="DD31" i="5"/>
  <c r="DE31" i="5"/>
  <c r="DF31" i="5"/>
  <c r="DG31" i="5"/>
  <c r="DH31" i="5"/>
  <c r="DI31" i="5"/>
  <c r="DJ31" i="5"/>
  <c r="DK31" i="5"/>
  <c r="DL31" i="5"/>
  <c r="DM31" i="5"/>
  <c r="DN31" i="5"/>
  <c r="DO31" i="5"/>
  <c r="DP31" i="5"/>
  <c r="DQ31" i="5"/>
  <c r="DR31" i="5"/>
  <c r="DS31" i="5"/>
  <c r="DT31" i="5"/>
  <c r="DU31" i="5"/>
  <c r="DV31" i="5"/>
  <c r="DW31" i="5"/>
  <c r="DX31" i="5"/>
  <c r="DY31" i="5"/>
  <c r="DZ31" i="5"/>
  <c r="EA31" i="5"/>
  <c r="EB31" i="5"/>
  <c r="EC31" i="5"/>
  <c r="ED31" i="5"/>
  <c r="EE31" i="5"/>
  <c r="EF31" i="5"/>
  <c r="EG31" i="5"/>
  <c r="EH31" i="5"/>
  <c r="EI31" i="5"/>
  <c r="EJ31" i="5"/>
  <c r="EK31" i="5"/>
  <c r="EL31" i="5"/>
  <c r="EM31" i="5"/>
  <c r="EN31" i="5"/>
  <c r="EO31" i="5"/>
  <c r="EP31" i="5"/>
  <c r="EQ31" i="5"/>
  <c r="ER31" i="5"/>
  <c r="ES31" i="5"/>
  <c r="ET31" i="5"/>
  <c r="EU31" i="5"/>
  <c r="EV31" i="5"/>
  <c r="EW31" i="5"/>
  <c r="EX31" i="5"/>
  <c r="EY31" i="5"/>
  <c r="EZ31" i="5"/>
  <c r="FA31" i="5"/>
  <c r="FB31" i="5"/>
  <c r="FC31" i="5"/>
  <c r="FD31" i="5"/>
  <c r="FE31" i="5"/>
  <c r="FF31" i="5"/>
  <c r="FG31" i="5"/>
  <c r="FH31" i="5"/>
  <c r="FI31" i="5"/>
  <c r="FJ31" i="5"/>
  <c r="FK31" i="5"/>
  <c r="FL31" i="5"/>
  <c r="FM31" i="5"/>
  <c r="FN31" i="5"/>
  <c r="FO31" i="5"/>
  <c r="FP31" i="5"/>
  <c r="FQ31" i="5"/>
  <c r="FR31" i="5"/>
  <c r="FS31" i="5"/>
  <c r="FT31" i="5"/>
  <c r="FU31" i="5"/>
  <c r="FV31" i="5"/>
  <c r="FW31" i="5"/>
  <c r="FX31" i="5"/>
  <c r="FY31" i="5"/>
  <c r="FZ31" i="5"/>
  <c r="GA31" i="5"/>
  <c r="GB31" i="5"/>
  <c r="GC31" i="5"/>
  <c r="GD31" i="5"/>
  <c r="GE31" i="5"/>
  <c r="GF31" i="5"/>
  <c r="GG31" i="5"/>
  <c r="GH31" i="5"/>
  <c r="GI31" i="5"/>
  <c r="GJ31" i="5"/>
  <c r="GK31" i="5"/>
  <c r="GL31" i="5"/>
  <c r="GM31" i="5"/>
  <c r="GN31" i="5"/>
  <c r="GO31" i="5"/>
  <c r="GP31" i="5"/>
  <c r="GQ31" i="5"/>
  <c r="GR31" i="5"/>
  <c r="GS31" i="5"/>
  <c r="GT31" i="5"/>
  <c r="GU31" i="5"/>
  <c r="GV31" i="5"/>
  <c r="GW31" i="5"/>
  <c r="GX31" i="5"/>
  <c r="GY31" i="5"/>
  <c r="GZ31" i="5"/>
  <c r="HA31" i="5"/>
  <c r="HB31" i="5"/>
  <c r="HC31" i="5"/>
  <c r="HD31" i="5"/>
  <c r="HE31" i="5"/>
  <c r="HF31" i="5"/>
  <c r="HG31" i="5"/>
  <c r="HH31" i="5"/>
  <c r="HI31" i="5"/>
  <c r="HJ31" i="5"/>
  <c r="HK31" i="5"/>
  <c r="HL31" i="5"/>
  <c r="HM31" i="5"/>
  <c r="HN31" i="5"/>
  <c r="HO31" i="5"/>
  <c r="HP31" i="5"/>
  <c r="HQ31" i="5"/>
  <c r="HR31" i="5"/>
  <c r="HS31" i="5"/>
  <c r="HT31" i="5"/>
  <c r="HU31" i="5"/>
  <c r="HV31" i="5"/>
  <c r="HW31" i="5"/>
  <c r="HX31" i="5"/>
  <c r="HY31" i="5"/>
  <c r="HZ31" i="5"/>
  <c r="IA31" i="5"/>
  <c r="IB31" i="5"/>
  <c r="IC31" i="5"/>
  <c r="ID31" i="5"/>
  <c r="IE31" i="5"/>
  <c r="IF31" i="5"/>
  <c r="IG31" i="5"/>
  <c r="IH31" i="5"/>
  <c r="II31" i="5"/>
  <c r="IJ31" i="5"/>
  <c r="IK31" i="5"/>
  <c r="IL31" i="5"/>
  <c r="IM31" i="5"/>
  <c r="IN31" i="5"/>
  <c r="IO31" i="5"/>
  <c r="IP31" i="5"/>
  <c r="IQ31" i="5"/>
  <c r="IR31" i="5"/>
  <c r="IS31" i="5"/>
  <c r="IT31" i="5"/>
  <c r="IU31" i="5"/>
  <c r="IV31" i="5"/>
  <c r="A30" i="5"/>
  <c r="B30" i="5"/>
  <c r="C30" i="5"/>
  <c r="D30" i="5"/>
  <c r="E30" i="5"/>
  <c r="F30" i="5"/>
  <c r="G30" i="5"/>
  <c r="H30" i="5"/>
  <c r="I30" i="5"/>
  <c r="J30" i="5"/>
  <c r="K30" i="5"/>
  <c r="L30" i="5"/>
  <c r="M30" i="5"/>
  <c r="N30" i="5"/>
  <c r="O30" i="5"/>
  <c r="P30" i="5"/>
  <c r="Q30" i="5"/>
  <c r="R30" i="5"/>
  <c r="S30" i="5"/>
  <c r="T30" i="5"/>
  <c r="U30" i="5"/>
  <c r="V30" i="5"/>
  <c r="W30" i="5"/>
  <c r="X30" i="5"/>
  <c r="Y30" i="5"/>
  <c r="Z30" i="5"/>
  <c r="AA30" i="5"/>
  <c r="AB30" i="5"/>
  <c r="AC30" i="5"/>
  <c r="AD30" i="5"/>
  <c r="AE30" i="5"/>
  <c r="AF30" i="5"/>
  <c r="AG30" i="5"/>
  <c r="AH30" i="5"/>
  <c r="AI30" i="5"/>
  <c r="AJ30" i="5"/>
  <c r="AK30" i="5"/>
  <c r="AL30" i="5"/>
  <c r="AM30" i="5"/>
  <c r="AN30" i="5"/>
  <c r="AO30" i="5"/>
  <c r="AP30" i="5"/>
  <c r="AQ30" i="5"/>
  <c r="AR30" i="5"/>
  <c r="AS30" i="5"/>
  <c r="AT30" i="5"/>
  <c r="AU30" i="5"/>
  <c r="AV30" i="5"/>
  <c r="AW30" i="5"/>
  <c r="AX30" i="5"/>
  <c r="AY30" i="5"/>
  <c r="AZ30" i="5"/>
  <c r="BA30" i="5"/>
  <c r="BB30" i="5"/>
  <c r="BC30" i="5"/>
  <c r="BD30" i="5"/>
  <c r="BE30" i="5"/>
  <c r="BF30" i="5"/>
  <c r="BG30" i="5"/>
  <c r="BH30" i="5"/>
  <c r="BI30" i="5"/>
  <c r="BJ30" i="5"/>
  <c r="BK30" i="5"/>
  <c r="BL30" i="5"/>
  <c r="BM30" i="5"/>
  <c r="BN30" i="5"/>
  <c r="BO30" i="5"/>
  <c r="BP30" i="5"/>
  <c r="BQ30" i="5"/>
  <c r="BR30" i="5"/>
  <c r="BS30" i="5"/>
  <c r="BT30" i="5"/>
  <c r="BU30" i="5"/>
  <c r="BV30" i="5"/>
  <c r="BW30" i="5"/>
  <c r="BX30" i="5"/>
  <c r="BY30" i="5"/>
  <c r="BZ30" i="5"/>
  <c r="CA30" i="5"/>
  <c r="CB30" i="5"/>
  <c r="CC30" i="5"/>
  <c r="CD30" i="5"/>
  <c r="CE30" i="5"/>
  <c r="CF30" i="5"/>
  <c r="CG30" i="5"/>
  <c r="CH30" i="5"/>
  <c r="CI30" i="5"/>
  <c r="CJ30" i="5"/>
  <c r="CK30" i="5"/>
  <c r="CL30" i="5"/>
  <c r="CM30" i="5"/>
  <c r="CN30" i="5"/>
  <c r="CO30" i="5"/>
  <c r="CP30" i="5"/>
  <c r="CQ30" i="5"/>
  <c r="CR30" i="5"/>
  <c r="CS30" i="5"/>
  <c r="CT30" i="5"/>
  <c r="CU30" i="5"/>
  <c r="CV30" i="5"/>
  <c r="CW30" i="5"/>
  <c r="CX30" i="5"/>
  <c r="CY30" i="5"/>
  <c r="CZ30" i="5"/>
  <c r="DA30" i="5"/>
  <c r="DB30" i="5"/>
  <c r="DC30" i="5"/>
  <c r="DD30" i="5"/>
  <c r="DE30" i="5"/>
  <c r="DF30" i="5"/>
  <c r="DG30" i="5"/>
  <c r="DH30" i="5"/>
  <c r="DI30" i="5"/>
  <c r="DJ30" i="5"/>
  <c r="DK30" i="5"/>
  <c r="DL30" i="5"/>
  <c r="DM30" i="5"/>
  <c r="DN30" i="5"/>
  <c r="DO30" i="5"/>
  <c r="DP30" i="5"/>
  <c r="DQ30" i="5"/>
  <c r="DR30" i="5"/>
  <c r="DS30" i="5"/>
  <c r="DT30" i="5"/>
  <c r="DU30" i="5"/>
  <c r="DV30" i="5"/>
  <c r="DW30" i="5"/>
  <c r="DX30" i="5"/>
  <c r="DY30" i="5"/>
  <c r="DZ30" i="5"/>
  <c r="EA30" i="5"/>
  <c r="EB30" i="5"/>
  <c r="EC30" i="5"/>
  <c r="ED30" i="5"/>
  <c r="EE30" i="5"/>
  <c r="EF30" i="5"/>
  <c r="EG30" i="5"/>
  <c r="EH30" i="5"/>
  <c r="EI30" i="5"/>
  <c r="EJ30" i="5"/>
  <c r="EK30" i="5"/>
  <c r="EL30" i="5"/>
  <c r="EM30" i="5"/>
  <c r="EN30" i="5"/>
  <c r="EO30" i="5"/>
  <c r="EP30" i="5"/>
  <c r="EQ30" i="5"/>
  <c r="ER30" i="5"/>
  <c r="ES30" i="5"/>
  <c r="ET30" i="5"/>
  <c r="EU30" i="5"/>
  <c r="EV30" i="5"/>
  <c r="EW30" i="5"/>
  <c r="EX30" i="5"/>
  <c r="EY30" i="5"/>
  <c r="EZ30" i="5"/>
  <c r="FA30" i="5"/>
  <c r="FB30" i="5"/>
  <c r="FC30" i="5"/>
  <c r="FD30" i="5"/>
  <c r="FE30" i="5"/>
  <c r="FF30" i="5"/>
  <c r="FG30" i="5"/>
  <c r="FH30" i="5"/>
  <c r="FI30" i="5"/>
  <c r="FJ30" i="5"/>
  <c r="FK30" i="5"/>
  <c r="FL30" i="5"/>
  <c r="FM30" i="5"/>
  <c r="FN30" i="5"/>
  <c r="FO30" i="5"/>
  <c r="FP30" i="5"/>
  <c r="FQ30" i="5"/>
  <c r="FR30" i="5"/>
  <c r="FS30" i="5"/>
  <c r="FT30" i="5"/>
  <c r="FU30" i="5"/>
  <c r="FV30" i="5"/>
  <c r="FW30" i="5"/>
  <c r="FX30" i="5"/>
  <c r="FY30" i="5"/>
  <c r="FZ30" i="5"/>
  <c r="GA30" i="5"/>
  <c r="GB30" i="5"/>
  <c r="GC30" i="5"/>
  <c r="GD30" i="5"/>
  <c r="GE30" i="5"/>
  <c r="GF30" i="5"/>
  <c r="GG30" i="5"/>
  <c r="GH30" i="5"/>
  <c r="GI30" i="5"/>
  <c r="GJ30" i="5"/>
  <c r="GK30" i="5"/>
  <c r="GL30" i="5"/>
  <c r="GM30" i="5"/>
  <c r="GN30" i="5"/>
  <c r="GO30" i="5"/>
  <c r="GP30" i="5"/>
  <c r="GQ30" i="5"/>
  <c r="GR30" i="5"/>
  <c r="GS30" i="5"/>
  <c r="GT30" i="5"/>
  <c r="GU30" i="5"/>
  <c r="GV30" i="5"/>
  <c r="GW30" i="5"/>
  <c r="GX30" i="5"/>
  <c r="GY30" i="5"/>
  <c r="GZ30" i="5"/>
  <c r="HA30" i="5"/>
  <c r="HB30" i="5"/>
  <c r="HC30" i="5"/>
  <c r="HD30" i="5"/>
  <c r="HE30" i="5"/>
  <c r="HF30" i="5"/>
  <c r="HG30" i="5"/>
  <c r="HH30" i="5"/>
  <c r="HI30" i="5"/>
  <c r="HJ30" i="5"/>
  <c r="HK30" i="5"/>
  <c r="HL30" i="5"/>
  <c r="HM30" i="5"/>
  <c r="HN30" i="5"/>
  <c r="HO30" i="5"/>
  <c r="HP30" i="5"/>
  <c r="HQ30" i="5"/>
  <c r="HR30" i="5"/>
  <c r="HS30" i="5"/>
  <c r="HT30" i="5"/>
  <c r="HU30" i="5"/>
  <c r="HV30" i="5"/>
  <c r="HW30" i="5"/>
  <c r="HX30" i="5"/>
  <c r="HY30" i="5"/>
  <c r="HZ30" i="5"/>
  <c r="IA30" i="5"/>
  <c r="IB30" i="5"/>
  <c r="IC30" i="5"/>
  <c r="ID30" i="5"/>
  <c r="IE30" i="5"/>
  <c r="IF30" i="5"/>
  <c r="IG30" i="5"/>
  <c r="IH30" i="5"/>
  <c r="II30" i="5"/>
  <c r="IJ30" i="5"/>
  <c r="IK30" i="5"/>
  <c r="IL30" i="5"/>
  <c r="IM30" i="5"/>
  <c r="IN30" i="5"/>
  <c r="IO30" i="5"/>
  <c r="IP30" i="5"/>
  <c r="IQ30" i="5"/>
  <c r="IR30" i="5"/>
  <c r="IS30" i="5"/>
  <c r="IT30" i="5"/>
  <c r="IU30" i="5"/>
  <c r="IV30" i="5"/>
  <c r="A29" i="5"/>
  <c r="B29" i="5"/>
  <c r="C29" i="5"/>
  <c r="D29" i="5"/>
  <c r="E29" i="5"/>
  <c r="F29" i="5"/>
  <c r="G29" i="5"/>
  <c r="H29" i="5"/>
  <c r="I29" i="5"/>
  <c r="J29" i="5"/>
  <c r="K29" i="5"/>
  <c r="L29" i="5"/>
  <c r="M29" i="5"/>
  <c r="N29" i="5"/>
  <c r="O29" i="5"/>
  <c r="P29" i="5"/>
  <c r="Q29" i="5"/>
  <c r="R29" i="5"/>
  <c r="S29" i="5"/>
  <c r="T29" i="5"/>
  <c r="U29" i="5"/>
  <c r="V29" i="5"/>
  <c r="W29" i="5"/>
  <c r="X29" i="5"/>
  <c r="Y29" i="5"/>
  <c r="Z29" i="5"/>
  <c r="AA29" i="5"/>
  <c r="AB29" i="5"/>
  <c r="AC29" i="5"/>
  <c r="AD29" i="5"/>
  <c r="AE29" i="5"/>
  <c r="AF29" i="5"/>
  <c r="AG29" i="5"/>
  <c r="AH29" i="5"/>
  <c r="AI29" i="5"/>
  <c r="AJ29" i="5"/>
  <c r="AK29" i="5"/>
  <c r="AL29" i="5"/>
  <c r="AM29" i="5"/>
  <c r="AN29" i="5"/>
  <c r="AO29" i="5"/>
  <c r="AP29" i="5"/>
  <c r="AQ29" i="5"/>
  <c r="AR29" i="5"/>
  <c r="AS29" i="5"/>
  <c r="AT29" i="5"/>
  <c r="AU29" i="5"/>
  <c r="AV29" i="5"/>
  <c r="AW29" i="5"/>
  <c r="AX29" i="5"/>
  <c r="AY29" i="5"/>
  <c r="AZ29" i="5"/>
  <c r="BA29" i="5"/>
  <c r="BB29" i="5"/>
  <c r="BC29" i="5"/>
  <c r="BD29" i="5"/>
  <c r="BE29" i="5"/>
  <c r="BF29" i="5"/>
  <c r="BG29" i="5"/>
  <c r="BH29" i="5"/>
  <c r="BI29" i="5"/>
  <c r="BJ29" i="5"/>
  <c r="BK29" i="5"/>
  <c r="BL29" i="5"/>
  <c r="BM29" i="5"/>
  <c r="BN29" i="5"/>
  <c r="BO29" i="5"/>
  <c r="BP29" i="5"/>
  <c r="BQ29" i="5"/>
  <c r="BR29" i="5"/>
  <c r="BS29" i="5"/>
  <c r="BT29" i="5"/>
  <c r="BU29" i="5"/>
  <c r="BV29" i="5"/>
  <c r="BW29" i="5"/>
  <c r="BX29" i="5"/>
  <c r="BY29" i="5"/>
  <c r="BZ29" i="5"/>
  <c r="CA29" i="5"/>
  <c r="CB29" i="5"/>
  <c r="CC29" i="5"/>
  <c r="CD29" i="5"/>
  <c r="CE29" i="5"/>
  <c r="CF29" i="5"/>
  <c r="CG29" i="5"/>
  <c r="CH29" i="5"/>
  <c r="CI29" i="5"/>
  <c r="CJ29" i="5"/>
  <c r="CK29" i="5"/>
  <c r="CL29" i="5"/>
  <c r="CM29" i="5"/>
  <c r="CN29" i="5"/>
  <c r="CO29" i="5"/>
  <c r="CP29" i="5"/>
  <c r="CQ29" i="5"/>
  <c r="CR29" i="5"/>
  <c r="CS29" i="5"/>
  <c r="CT29" i="5"/>
  <c r="CU29" i="5"/>
  <c r="CV29" i="5"/>
  <c r="CW29" i="5"/>
  <c r="CX29" i="5"/>
  <c r="CY29" i="5"/>
  <c r="CZ29" i="5"/>
  <c r="DA29" i="5"/>
  <c r="DB29" i="5"/>
  <c r="DC29" i="5"/>
  <c r="DD29" i="5"/>
  <c r="DE29" i="5"/>
  <c r="DF29" i="5"/>
  <c r="DG29" i="5"/>
  <c r="DH29" i="5"/>
  <c r="DI29" i="5"/>
  <c r="DJ29" i="5"/>
  <c r="DK29" i="5"/>
  <c r="DL29" i="5"/>
  <c r="DM29" i="5"/>
  <c r="DN29" i="5"/>
  <c r="DO29" i="5"/>
  <c r="DP29" i="5"/>
  <c r="DQ29" i="5"/>
  <c r="DR29" i="5"/>
  <c r="DS29" i="5"/>
  <c r="DT29" i="5"/>
  <c r="DU29" i="5"/>
  <c r="DV29" i="5"/>
  <c r="DW29" i="5"/>
  <c r="DX29" i="5"/>
  <c r="DY29" i="5"/>
  <c r="DZ29" i="5"/>
  <c r="EA29" i="5"/>
  <c r="EB29" i="5"/>
  <c r="EC29" i="5"/>
  <c r="ED29" i="5"/>
  <c r="EE29" i="5"/>
  <c r="EF29" i="5"/>
  <c r="EG29" i="5"/>
  <c r="EH29" i="5"/>
  <c r="EI29" i="5"/>
  <c r="EJ29" i="5"/>
  <c r="EK29" i="5"/>
  <c r="EL29" i="5"/>
  <c r="EM29" i="5"/>
  <c r="EN29" i="5"/>
  <c r="EO29" i="5"/>
  <c r="EP29" i="5"/>
  <c r="EQ29" i="5"/>
  <c r="ER29" i="5"/>
  <c r="ES29" i="5"/>
  <c r="ET29" i="5"/>
  <c r="EU29" i="5"/>
  <c r="EV29" i="5"/>
  <c r="EW29" i="5"/>
  <c r="EX29" i="5"/>
  <c r="EY29" i="5"/>
  <c r="EZ29" i="5"/>
  <c r="FA29" i="5"/>
  <c r="FB29" i="5"/>
  <c r="FC29" i="5"/>
  <c r="FD29" i="5"/>
  <c r="FE29" i="5"/>
  <c r="FF29" i="5"/>
  <c r="FG29" i="5"/>
  <c r="FH29" i="5"/>
  <c r="FI29" i="5"/>
  <c r="FJ29" i="5"/>
  <c r="FK29" i="5"/>
  <c r="FL29" i="5"/>
  <c r="FM29" i="5"/>
  <c r="FN29" i="5"/>
  <c r="FO29" i="5"/>
  <c r="FP29" i="5"/>
  <c r="FQ29" i="5"/>
  <c r="FR29" i="5"/>
  <c r="FS29" i="5"/>
  <c r="FT29" i="5"/>
  <c r="FU29" i="5"/>
  <c r="FV29" i="5"/>
  <c r="FW29" i="5"/>
  <c r="FX29" i="5"/>
  <c r="FY29" i="5"/>
  <c r="FZ29" i="5"/>
  <c r="GA29" i="5"/>
  <c r="GB29" i="5"/>
  <c r="GC29" i="5"/>
  <c r="GD29" i="5"/>
  <c r="GE29" i="5"/>
  <c r="GF29" i="5"/>
  <c r="GG29" i="5"/>
  <c r="GH29" i="5"/>
  <c r="GI29" i="5"/>
  <c r="GJ29" i="5"/>
  <c r="GK29" i="5"/>
  <c r="GL29" i="5"/>
  <c r="GM29" i="5"/>
  <c r="GN29" i="5"/>
  <c r="GO29" i="5"/>
  <c r="GP29" i="5"/>
  <c r="GQ29" i="5"/>
  <c r="GR29" i="5"/>
  <c r="GS29" i="5"/>
  <c r="GT29" i="5"/>
  <c r="GU29" i="5"/>
  <c r="GV29" i="5"/>
  <c r="GW29" i="5"/>
  <c r="GX29" i="5"/>
  <c r="GY29" i="5"/>
  <c r="GZ29" i="5"/>
  <c r="HA29" i="5"/>
  <c r="HB29" i="5"/>
  <c r="HC29" i="5"/>
  <c r="HD29" i="5"/>
  <c r="HE29" i="5"/>
  <c r="HF29" i="5"/>
  <c r="HG29" i="5"/>
  <c r="HH29" i="5"/>
  <c r="HI29" i="5"/>
  <c r="HJ29" i="5"/>
  <c r="HK29" i="5"/>
  <c r="HL29" i="5"/>
  <c r="HM29" i="5"/>
  <c r="HN29" i="5"/>
  <c r="HO29" i="5"/>
  <c r="HP29" i="5"/>
  <c r="HQ29" i="5"/>
  <c r="HR29" i="5"/>
  <c r="HS29" i="5"/>
  <c r="HT29" i="5"/>
  <c r="HU29" i="5"/>
  <c r="HV29" i="5"/>
  <c r="HW29" i="5"/>
  <c r="HX29" i="5"/>
  <c r="HY29" i="5"/>
  <c r="HZ29" i="5"/>
  <c r="IA29" i="5"/>
  <c r="IB29" i="5"/>
  <c r="IC29" i="5"/>
  <c r="ID29" i="5"/>
  <c r="IE29" i="5"/>
  <c r="IF29" i="5"/>
  <c r="IG29" i="5"/>
  <c r="IH29" i="5"/>
  <c r="II29" i="5"/>
  <c r="IJ29" i="5"/>
  <c r="IK29" i="5"/>
  <c r="IL29" i="5"/>
  <c r="IM29" i="5"/>
  <c r="IN29" i="5"/>
  <c r="IO29" i="5"/>
  <c r="IP29" i="5"/>
  <c r="IQ29" i="5"/>
  <c r="IR29" i="5"/>
  <c r="IS29" i="5"/>
  <c r="IT29" i="5"/>
  <c r="IU29" i="5"/>
  <c r="IV29" i="5"/>
  <c r="A28" i="5"/>
  <c r="B28" i="5"/>
  <c r="C28" i="5"/>
  <c r="D28" i="5"/>
  <c r="E28" i="5"/>
  <c r="F28" i="5"/>
  <c r="G28" i="5"/>
  <c r="H28" i="5"/>
  <c r="I28" i="5"/>
  <c r="J28" i="5"/>
  <c r="K28" i="5"/>
  <c r="L28" i="5"/>
  <c r="M28" i="5"/>
  <c r="N28" i="5"/>
  <c r="O28" i="5"/>
  <c r="P28" i="5"/>
  <c r="Q28" i="5"/>
  <c r="R28" i="5"/>
  <c r="S28" i="5"/>
  <c r="T28" i="5"/>
  <c r="U28" i="5"/>
  <c r="V28" i="5"/>
  <c r="W28" i="5"/>
  <c r="X28" i="5"/>
  <c r="Y28" i="5"/>
  <c r="Z28" i="5"/>
  <c r="AA28" i="5"/>
  <c r="AB28" i="5"/>
  <c r="AC28" i="5"/>
  <c r="AD28" i="5"/>
  <c r="AE28" i="5"/>
  <c r="AF28" i="5"/>
  <c r="AG28" i="5"/>
  <c r="AH28" i="5"/>
  <c r="AI28" i="5"/>
  <c r="AJ28" i="5"/>
  <c r="AK28" i="5"/>
  <c r="AL28" i="5"/>
  <c r="AM28" i="5"/>
  <c r="AN28" i="5"/>
  <c r="AO28" i="5"/>
  <c r="AP28" i="5"/>
  <c r="AQ28" i="5"/>
  <c r="AR28" i="5"/>
  <c r="AS28" i="5"/>
  <c r="AT28" i="5"/>
  <c r="AU28" i="5"/>
  <c r="AV28" i="5"/>
  <c r="AW28" i="5"/>
  <c r="AX28" i="5"/>
  <c r="AY28" i="5"/>
  <c r="AZ28" i="5"/>
  <c r="BA28" i="5"/>
  <c r="BB28" i="5"/>
  <c r="BC28" i="5"/>
  <c r="BD28" i="5"/>
  <c r="BE28" i="5"/>
  <c r="BF28" i="5"/>
  <c r="BG28" i="5"/>
  <c r="BH28" i="5"/>
  <c r="BI28" i="5"/>
  <c r="BJ28" i="5"/>
  <c r="BK28" i="5"/>
  <c r="BL28" i="5"/>
  <c r="BM28" i="5"/>
  <c r="BN28" i="5"/>
  <c r="BO28" i="5"/>
  <c r="BP28" i="5"/>
  <c r="BQ28" i="5"/>
  <c r="BR28" i="5"/>
  <c r="BS28" i="5"/>
  <c r="BT28" i="5"/>
  <c r="BU28" i="5"/>
  <c r="BV28" i="5"/>
  <c r="BW28" i="5"/>
  <c r="BX28" i="5"/>
  <c r="BY28" i="5"/>
  <c r="BZ28" i="5"/>
  <c r="CA28" i="5"/>
  <c r="CB28" i="5"/>
  <c r="CC28" i="5"/>
  <c r="CD28" i="5"/>
  <c r="CE28" i="5"/>
  <c r="CF28" i="5"/>
  <c r="CG28" i="5"/>
  <c r="CH28" i="5"/>
  <c r="CI28" i="5"/>
  <c r="CJ28" i="5"/>
  <c r="CK28" i="5"/>
  <c r="CL28" i="5"/>
  <c r="CM28" i="5"/>
  <c r="CN28" i="5"/>
  <c r="CO28" i="5"/>
  <c r="CP28" i="5"/>
  <c r="CQ28" i="5"/>
  <c r="CR28" i="5"/>
  <c r="CS28" i="5"/>
  <c r="CT28" i="5"/>
  <c r="CU28" i="5"/>
  <c r="CV28" i="5"/>
  <c r="CW28" i="5"/>
  <c r="CX28" i="5"/>
  <c r="CY28" i="5"/>
  <c r="CZ28" i="5"/>
  <c r="DA28" i="5"/>
  <c r="DB28" i="5"/>
  <c r="DC28" i="5"/>
  <c r="DD28" i="5"/>
  <c r="DE28" i="5"/>
  <c r="DF28" i="5"/>
  <c r="DG28" i="5"/>
  <c r="DH28" i="5"/>
  <c r="DI28" i="5"/>
  <c r="DJ28" i="5"/>
  <c r="DK28" i="5"/>
  <c r="DL28" i="5"/>
  <c r="DM28" i="5"/>
  <c r="DN28" i="5"/>
  <c r="DO28" i="5"/>
  <c r="DP28" i="5"/>
  <c r="DQ28" i="5"/>
  <c r="DR28" i="5"/>
  <c r="DS28" i="5"/>
  <c r="DT28" i="5"/>
  <c r="DU28" i="5"/>
  <c r="DV28" i="5"/>
  <c r="DW28" i="5"/>
  <c r="DX28" i="5"/>
  <c r="DY28" i="5"/>
  <c r="DZ28" i="5"/>
  <c r="EA28" i="5"/>
  <c r="EB28" i="5"/>
  <c r="EC28" i="5"/>
  <c r="ED28" i="5"/>
  <c r="EE28" i="5"/>
  <c r="EF28" i="5"/>
  <c r="EG28" i="5"/>
  <c r="EH28" i="5"/>
  <c r="EI28" i="5"/>
  <c r="EJ28" i="5"/>
  <c r="EK28" i="5"/>
  <c r="EL28" i="5"/>
  <c r="EM28" i="5"/>
  <c r="EN28" i="5"/>
  <c r="EO28" i="5"/>
  <c r="EP28" i="5"/>
  <c r="EQ28" i="5"/>
  <c r="ER28" i="5"/>
  <c r="ES28" i="5"/>
  <c r="ET28" i="5"/>
  <c r="EU28" i="5"/>
  <c r="EV28" i="5"/>
  <c r="EW28" i="5"/>
  <c r="EX28" i="5"/>
  <c r="EY28" i="5"/>
  <c r="EZ28" i="5"/>
  <c r="FA28" i="5"/>
  <c r="FB28" i="5"/>
  <c r="FC28" i="5"/>
  <c r="FD28" i="5"/>
  <c r="FE28" i="5"/>
  <c r="FF28" i="5"/>
  <c r="FG28" i="5"/>
  <c r="FH28" i="5"/>
  <c r="FI28" i="5"/>
  <c r="FJ28" i="5"/>
  <c r="FK28" i="5"/>
  <c r="FL28" i="5"/>
  <c r="FM28" i="5"/>
  <c r="FN28" i="5"/>
  <c r="FO28" i="5"/>
  <c r="FP28" i="5"/>
  <c r="FQ28" i="5"/>
  <c r="FR28" i="5"/>
  <c r="FS28" i="5"/>
  <c r="FT28" i="5"/>
  <c r="FU28" i="5"/>
  <c r="FV28" i="5"/>
  <c r="FW28" i="5"/>
  <c r="FX28" i="5"/>
  <c r="FY28" i="5"/>
  <c r="FZ28" i="5"/>
  <c r="GA28" i="5"/>
  <c r="GB28" i="5"/>
  <c r="GC28" i="5"/>
  <c r="GD28" i="5"/>
  <c r="GE28" i="5"/>
  <c r="GF28" i="5"/>
  <c r="GG28" i="5"/>
  <c r="GH28" i="5"/>
  <c r="GI28" i="5"/>
  <c r="GJ28" i="5"/>
  <c r="GK28" i="5"/>
  <c r="GL28" i="5"/>
  <c r="GM28" i="5"/>
  <c r="GN28" i="5"/>
  <c r="GO28" i="5"/>
  <c r="GP28" i="5"/>
  <c r="GQ28" i="5"/>
  <c r="GR28" i="5"/>
  <c r="GS28" i="5"/>
  <c r="GT28" i="5"/>
  <c r="GU28" i="5"/>
  <c r="GV28" i="5"/>
  <c r="GW28" i="5"/>
  <c r="GX28" i="5"/>
  <c r="GY28" i="5"/>
  <c r="GZ28" i="5"/>
  <c r="HA28" i="5"/>
  <c r="HB28" i="5"/>
  <c r="HC28" i="5"/>
  <c r="HD28" i="5"/>
  <c r="HE28" i="5"/>
  <c r="HF28" i="5"/>
  <c r="HG28" i="5"/>
  <c r="HH28" i="5"/>
  <c r="HI28" i="5"/>
  <c r="HJ28" i="5"/>
  <c r="HK28" i="5"/>
  <c r="HL28" i="5"/>
  <c r="HM28" i="5"/>
  <c r="HN28" i="5"/>
  <c r="HO28" i="5"/>
  <c r="HP28" i="5"/>
  <c r="HQ28" i="5"/>
  <c r="HR28" i="5"/>
  <c r="HS28" i="5"/>
  <c r="HT28" i="5"/>
  <c r="HU28" i="5"/>
  <c r="HV28" i="5"/>
  <c r="HW28" i="5"/>
  <c r="HX28" i="5"/>
  <c r="HY28" i="5"/>
  <c r="HZ28" i="5"/>
  <c r="IA28" i="5"/>
  <c r="IB28" i="5"/>
  <c r="IC28" i="5"/>
  <c r="ID28" i="5"/>
  <c r="IE28" i="5"/>
  <c r="IF28" i="5"/>
  <c r="IG28" i="5"/>
  <c r="IH28" i="5"/>
  <c r="II28" i="5"/>
  <c r="IJ28" i="5"/>
  <c r="IK28" i="5"/>
  <c r="IL28" i="5"/>
  <c r="IM28" i="5"/>
  <c r="IN28" i="5"/>
  <c r="IO28" i="5"/>
  <c r="IP28" i="5"/>
  <c r="IQ28" i="5"/>
  <c r="IR28" i="5"/>
  <c r="IS28" i="5"/>
  <c r="IT28" i="5"/>
  <c r="IU28" i="5"/>
  <c r="IV28" i="5"/>
  <c r="A27" i="5"/>
  <c r="B27" i="5"/>
  <c r="C27" i="5"/>
  <c r="D27" i="5"/>
  <c r="E27" i="5"/>
  <c r="F27" i="5"/>
  <c r="G27" i="5"/>
  <c r="H27" i="5"/>
  <c r="I27" i="5"/>
  <c r="J27" i="5"/>
  <c r="K27" i="5"/>
  <c r="L27" i="5"/>
  <c r="M27" i="5"/>
  <c r="N27" i="5"/>
  <c r="O27" i="5"/>
  <c r="P27" i="5"/>
  <c r="Q27" i="5"/>
  <c r="R27" i="5"/>
  <c r="S27" i="5"/>
  <c r="T27" i="5"/>
  <c r="U27" i="5"/>
  <c r="V27" i="5"/>
  <c r="W27" i="5"/>
  <c r="X27" i="5"/>
  <c r="Y27" i="5"/>
  <c r="Z27" i="5"/>
  <c r="AA27" i="5"/>
  <c r="AB27" i="5"/>
  <c r="AC27" i="5"/>
  <c r="AD27" i="5"/>
  <c r="AE27" i="5"/>
  <c r="AF27" i="5"/>
  <c r="AG27" i="5"/>
  <c r="AH27" i="5"/>
  <c r="AI27" i="5"/>
  <c r="AJ27" i="5"/>
  <c r="AK27" i="5"/>
  <c r="AL27" i="5"/>
  <c r="AM27" i="5"/>
  <c r="AN27" i="5"/>
  <c r="AO27" i="5"/>
  <c r="AP27" i="5"/>
  <c r="AQ27" i="5"/>
  <c r="AR27" i="5"/>
  <c r="AS27" i="5"/>
  <c r="AT27" i="5"/>
  <c r="AU27" i="5"/>
  <c r="AV27" i="5"/>
  <c r="AW27" i="5"/>
  <c r="AX27" i="5"/>
  <c r="AY27" i="5"/>
  <c r="AZ27" i="5"/>
  <c r="BA27" i="5"/>
  <c r="BB27" i="5"/>
  <c r="BC27" i="5"/>
  <c r="BD27" i="5"/>
  <c r="BE27" i="5"/>
  <c r="BF27" i="5"/>
  <c r="BG27" i="5"/>
  <c r="BH27" i="5"/>
  <c r="BI27" i="5"/>
  <c r="BJ27" i="5"/>
  <c r="BK27" i="5"/>
  <c r="BL27" i="5"/>
  <c r="BM27" i="5"/>
  <c r="BN27" i="5"/>
  <c r="BO27" i="5"/>
  <c r="BP27" i="5"/>
  <c r="BQ27" i="5"/>
  <c r="BR27" i="5"/>
  <c r="BS27" i="5"/>
  <c r="BT27" i="5"/>
  <c r="BU27" i="5"/>
  <c r="BV27" i="5"/>
  <c r="BW27" i="5"/>
  <c r="BX27" i="5"/>
  <c r="BY27" i="5"/>
  <c r="BZ27" i="5"/>
  <c r="CA27" i="5"/>
  <c r="CB27" i="5"/>
  <c r="CC27" i="5"/>
  <c r="CD27" i="5"/>
  <c r="CE27" i="5"/>
  <c r="CF27" i="5"/>
  <c r="CG27" i="5"/>
  <c r="CH27" i="5"/>
  <c r="CI27" i="5"/>
  <c r="CJ27" i="5"/>
  <c r="CK27" i="5"/>
  <c r="CL27" i="5"/>
  <c r="CM27" i="5"/>
  <c r="CN27" i="5"/>
  <c r="CO27" i="5"/>
  <c r="CP27" i="5"/>
  <c r="CQ27" i="5"/>
  <c r="CR27" i="5"/>
  <c r="CS27" i="5"/>
  <c r="CT27" i="5"/>
  <c r="CU27" i="5"/>
  <c r="CV27" i="5"/>
  <c r="CW27" i="5"/>
  <c r="CX27" i="5"/>
  <c r="CY27" i="5"/>
  <c r="CZ27" i="5"/>
  <c r="DA27" i="5"/>
  <c r="DB27" i="5"/>
  <c r="DC27" i="5"/>
  <c r="DD27" i="5"/>
  <c r="DE27" i="5"/>
  <c r="DF27" i="5"/>
  <c r="DG27" i="5"/>
  <c r="DH27" i="5"/>
  <c r="DI27" i="5"/>
  <c r="DJ27" i="5"/>
  <c r="DK27" i="5"/>
  <c r="DL27" i="5"/>
  <c r="DM27" i="5"/>
  <c r="DN27" i="5"/>
  <c r="DO27" i="5"/>
  <c r="DP27" i="5"/>
  <c r="DQ27" i="5"/>
  <c r="DR27" i="5"/>
  <c r="DS27" i="5"/>
  <c r="DT27" i="5"/>
  <c r="DU27" i="5"/>
  <c r="DV27" i="5"/>
  <c r="DW27" i="5"/>
  <c r="DX27" i="5"/>
  <c r="DY27" i="5"/>
  <c r="DZ27" i="5"/>
  <c r="EA27" i="5"/>
  <c r="EB27" i="5"/>
  <c r="EC27" i="5"/>
  <c r="ED27" i="5"/>
  <c r="EE27" i="5"/>
  <c r="EF27" i="5"/>
  <c r="EG27" i="5"/>
  <c r="EH27" i="5"/>
  <c r="EI27" i="5"/>
  <c r="EJ27" i="5"/>
  <c r="EK27" i="5"/>
  <c r="EL27" i="5"/>
  <c r="EM27" i="5"/>
  <c r="EN27" i="5"/>
  <c r="EO27" i="5"/>
  <c r="EP27" i="5"/>
  <c r="EQ27" i="5"/>
  <c r="ER27" i="5"/>
  <c r="ES27" i="5"/>
  <c r="ET27" i="5"/>
  <c r="EU27" i="5"/>
  <c r="EV27" i="5"/>
  <c r="EW27" i="5"/>
  <c r="EX27" i="5"/>
  <c r="EY27" i="5"/>
  <c r="EZ27" i="5"/>
  <c r="FA27" i="5"/>
  <c r="FB27" i="5"/>
  <c r="FC27" i="5"/>
  <c r="FD27" i="5"/>
  <c r="FE27" i="5"/>
  <c r="FF27" i="5"/>
  <c r="FG27" i="5"/>
  <c r="FH27" i="5"/>
  <c r="FI27" i="5"/>
  <c r="FJ27" i="5"/>
  <c r="FK27" i="5"/>
  <c r="FL27" i="5"/>
  <c r="FM27" i="5"/>
  <c r="FN27" i="5"/>
  <c r="FO27" i="5"/>
  <c r="FP27" i="5"/>
  <c r="FQ27" i="5"/>
  <c r="FR27" i="5"/>
  <c r="FS27" i="5"/>
  <c r="FT27" i="5"/>
  <c r="FU27" i="5"/>
  <c r="FV27" i="5"/>
  <c r="FW27" i="5"/>
  <c r="FX27" i="5"/>
  <c r="FY27" i="5"/>
  <c r="FZ27" i="5"/>
  <c r="GA27" i="5"/>
  <c r="GB27" i="5"/>
  <c r="GC27" i="5"/>
  <c r="GD27" i="5"/>
  <c r="GE27" i="5"/>
  <c r="GF27" i="5"/>
  <c r="GG27" i="5"/>
  <c r="GH27" i="5"/>
  <c r="GI27" i="5"/>
  <c r="GJ27" i="5"/>
  <c r="GK27" i="5"/>
  <c r="GL27" i="5"/>
  <c r="GM27" i="5"/>
  <c r="GN27" i="5"/>
  <c r="GO27" i="5"/>
  <c r="GP27" i="5"/>
  <c r="GQ27" i="5"/>
  <c r="GR27" i="5"/>
  <c r="GS27" i="5"/>
  <c r="GT27" i="5"/>
  <c r="GU27" i="5"/>
  <c r="GV27" i="5"/>
  <c r="GW27" i="5"/>
  <c r="GX27" i="5"/>
  <c r="GY27" i="5"/>
  <c r="GZ27" i="5"/>
  <c r="HA27" i="5"/>
  <c r="HB27" i="5"/>
  <c r="HC27" i="5"/>
  <c r="HD27" i="5"/>
  <c r="HE27" i="5"/>
  <c r="HF27" i="5"/>
  <c r="HG27" i="5"/>
  <c r="HH27" i="5"/>
  <c r="HI27" i="5"/>
  <c r="HJ27" i="5"/>
  <c r="HK27" i="5"/>
  <c r="HL27" i="5"/>
  <c r="HM27" i="5"/>
  <c r="HN27" i="5"/>
  <c r="HO27" i="5"/>
  <c r="HP27" i="5"/>
  <c r="HQ27" i="5"/>
  <c r="HR27" i="5"/>
  <c r="HS27" i="5"/>
  <c r="HT27" i="5"/>
  <c r="HU27" i="5"/>
  <c r="HV27" i="5"/>
  <c r="HW27" i="5"/>
  <c r="HX27" i="5"/>
  <c r="HY27" i="5"/>
  <c r="HZ27" i="5"/>
  <c r="IA27" i="5"/>
  <c r="IB27" i="5"/>
  <c r="IC27" i="5"/>
  <c r="ID27" i="5"/>
  <c r="IE27" i="5"/>
  <c r="IF27" i="5"/>
  <c r="IG27" i="5"/>
  <c r="IH27" i="5"/>
  <c r="II27" i="5"/>
  <c r="IJ27" i="5"/>
  <c r="IK27" i="5"/>
  <c r="IL27" i="5"/>
  <c r="IM27" i="5"/>
  <c r="IN27" i="5"/>
  <c r="IO27" i="5"/>
  <c r="IP27" i="5"/>
  <c r="IQ27" i="5"/>
  <c r="IR27" i="5"/>
  <c r="IS27" i="5"/>
  <c r="IT27" i="5"/>
  <c r="IU27" i="5"/>
  <c r="IV27" i="5"/>
  <c r="A26" i="5"/>
  <c r="B26" i="5"/>
  <c r="C26" i="5"/>
  <c r="D26" i="5"/>
  <c r="E26" i="5"/>
  <c r="F26" i="5"/>
  <c r="G26" i="5"/>
  <c r="H26" i="5"/>
  <c r="I26" i="5"/>
  <c r="J26" i="5"/>
  <c r="K26" i="5"/>
  <c r="L26" i="5"/>
  <c r="M26" i="5"/>
  <c r="N26" i="5"/>
  <c r="O26" i="5"/>
  <c r="P26" i="5"/>
  <c r="Q26" i="5"/>
  <c r="R26" i="5"/>
  <c r="S26" i="5"/>
  <c r="T26" i="5"/>
  <c r="U26" i="5"/>
  <c r="V26" i="5"/>
  <c r="W26" i="5"/>
  <c r="X26" i="5"/>
  <c r="Y26" i="5"/>
  <c r="Z26" i="5"/>
  <c r="AA26" i="5"/>
  <c r="AB26" i="5"/>
  <c r="AC26" i="5"/>
  <c r="AD26" i="5"/>
  <c r="AE26" i="5"/>
  <c r="AF26" i="5"/>
  <c r="AG26" i="5"/>
  <c r="AH26" i="5"/>
  <c r="AI26" i="5"/>
  <c r="AJ26" i="5"/>
  <c r="AK26" i="5"/>
  <c r="AL26" i="5"/>
  <c r="AM26" i="5"/>
  <c r="AN26" i="5"/>
  <c r="AO26" i="5"/>
  <c r="AP26" i="5"/>
  <c r="AQ26" i="5"/>
  <c r="AR26" i="5"/>
  <c r="AS26" i="5"/>
  <c r="AT26" i="5"/>
  <c r="AU26" i="5"/>
  <c r="AV26" i="5"/>
  <c r="AW26" i="5"/>
  <c r="AX26" i="5"/>
  <c r="AY26" i="5"/>
  <c r="AZ26" i="5"/>
  <c r="BA26" i="5"/>
  <c r="BB26" i="5"/>
  <c r="BC26" i="5"/>
  <c r="BD26" i="5"/>
  <c r="BE26" i="5"/>
  <c r="BF26" i="5"/>
  <c r="BG26" i="5"/>
  <c r="BH26" i="5"/>
  <c r="BI26" i="5"/>
  <c r="BJ26" i="5"/>
  <c r="BK26" i="5"/>
  <c r="BL26" i="5"/>
  <c r="BM26" i="5"/>
  <c r="BN26" i="5"/>
  <c r="BO26" i="5"/>
  <c r="BP26" i="5"/>
  <c r="BQ26" i="5"/>
  <c r="BR26" i="5"/>
  <c r="BS26" i="5"/>
  <c r="BT26" i="5"/>
  <c r="BU26" i="5"/>
  <c r="BV26" i="5"/>
  <c r="BW26" i="5"/>
  <c r="BX26" i="5"/>
  <c r="BY26" i="5"/>
  <c r="BZ26" i="5"/>
  <c r="CA26" i="5"/>
  <c r="CB26" i="5"/>
  <c r="CC26" i="5"/>
  <c r="CD26" i="5"/>
  <c r="CE26" i="5"/>
  <c r="CF26" i="5"/>
  <c r="CG26" i="5"/>
  <c r="CH26" i="5"/>
  <c r="CI26" i="5"/>
  <c r="CJ26" i="5"/>
  <c r="CK26" i="5"/>
  <c r="CL26" i="5"/>
  <c r="CM26" i="5"/>
  <c r="CN26" i="5"/>
  <c r="CO26" i="5"/>
  <c r="CP26" i="5"/>
  <c r="CQ26" i="5"/>
  <c r="CR26" i="5"/>
  <c r="CS26" i="5"/>
  <c r="CT26" i="5"/>
  <c r="CU26" i="5"/>
  <c r="CV26" i="5"/>
  <c r="CW26" i="5"/>
  <c r="CX26" i="5"/>
  <c r="CY26" i="5"/>
  <c r="CZ26" i="5"/>
  <c r="DA26" i="5"/>
  <c r="DB26" i="5"/>
  <c r="DC26" i="5"/>
  <c r="DD26" i="5"/>
  <c r="DE26" i="5"/>
  <c r="DF26" i="5"/>
  <c r="DG26" i="5"/>
  <c r="DH26" i="5"/>
  <c r="DI26" i="5"/>
  <c r="DJ26" i="5"/>
  <c r="DK26" i="5"/>
  <c r="DL26" i="5"/>
  <c r="DM26" i="5"/>
  <c r="DN26" i="5"/>
  <c r="DO26" i="5"/>
  <c r="DP26" i="5"/>
  <c r="DQ26" i="5"/>
  <c r="DR26" i="5"/>
  <c r="DS26" i="5"/>
  <c r="DT26" i="5"/>
  <c r="DU26" i="5"/>
  <c r="DV26" i="5"/>
  <c r="DW26" i="5"/>
  <c r="DX26" i="5"/>
  <c r="DY26" i="5"/>
  <c r="DZ26" i="5"/>
  <c r="EA26" i="5"/>
  <c r="EB26" i="5"/>
  <c r="EC26" i="5"/>
  <c r="ED26" i="5"/>
  <c r="EE26" i="5"/>
  <c r="EF26" i="5"/>
  <c r="EG26" i="5"/>
  <c r="EH26" i="5"/>
  <c r="EI26" i="5"/>
  <c r="EJ26" i="5"/>
  <c r="EK26" i="5"/>
  <c r="EL26" i="5"/>
  <c r="EM26" i="5"/>
  <c r="EN26" i="5"/>
  <c r="EO26" i="5"/>
  <c r="EP26" i="5"/>
  <c r="EQ26" i="5"/>
  <c r="ER26" i="5"/>
  <c r="ES26" i="5"/>
  <c r="ET26" i="5"/>
  <c r="EU26" i="5"/>
  <c r="EV26" i="5"/>
  <c r="EW26" i="5"/>
  <c r="EX26" i="5"/>
  <c r="EY26" i="5"/>
  <c r="EZ26" i="5"/>
  <c r="FA26" i="5"/>
  <c r="FB26" i="5"/>
  <c r="FC26" i="5"/>
  <c r="FD26" i="5"/>
  <c r="FE26" i="5"/>
  <c r="FF26" i="5"/>
  <c r="FG26" i="5"/>
  <c r="FH26" i="5"/>
  <c r="FI26" i="5"/>
  <c r="FJ26" i="5"/>
  <c r="FK26" i="5"/>
  <c r="FL26" i="5"/>
  <c r="FM26" i="5"/>
  <c r="FN26" i="5"/>
  <c r="FO26" i="5"/>
  <c r="FP26" i="5"/>
  <c r="FQ26" i="5"/>
  <c r="FR26" i="5"/>
  <c r="FS26" i="5"/>
  <c r="FT26" i="5"/>
  <c r="FU26" i="5"/>
  <c r="FV26" i="5"/>
  <c r="FW26" i="5"/>
  <c r="FX26" i="5"/>
  <c r="FY26" i="5"/>
  <c r="FZ26" i="5"/>
  <c r="GA26" i="5"/>
  <c r="GB26" i="5"/>
  <c r="GC26" i="5"/>
  <c r="GD26" i="5"/>
  <c r="GE26" i="5"/>
  <c r="GF26" i="5"/>
  <c r="GG26" i="5"/>
  <c r="GH26" i="5"/>
  <c r="GI26" i="5"/>
  <c r="GJ26" i="5"/>
  <c r="GK26" i="5"/>
  <c r="GL26" i="5"/>
  <c r="GM26" i="5"/>
  <c r="GN26" i="5"/>
  <c r="GO26" i="5"/>
  <c r="GP26" i="5"/>
  <c r="GQ26" i="5"/>
  <c r="GR26" i="5"/>
  <c r="GS26" i="5"/>
  <c r="GT26" i="5"/>
  <c r="GU26" i="5"/>
  <c r="GV26" i="5"/>
  <c r="GW26" i="5"/>
  <c r="GX26" i="5"/>
  <c r="GY26" i="5"/>
  <c r="GZ26" i="5"/>
  <c r="HA26" i="5"/>
  <c r="HB26" i="5"/>
  <c r="HC26" i="5"/>
  <c r="HD26" i="5"/>
  <c r="HE26" i="5"/>
  <c r="HF26" i="5"/>
  <c r="HG26" i="5"/>
  <c r="HH26" i="5"/>
  <c r="HI26" i="5"/>
  <c r="HJ26" i="5"/>
  <c r="HK26" i="5"/>
  <c r="HL26" i="5"/>
  <c r="HM26" i="5"/>
  <c r="HN26" i="5"/>
  <c r="HO26" i="5"/>
  <c r="HP26" i="5"/>
  <c r="HQ26" i="5"/>
  <c r="HR26" i="5"/>
  <c r="HS26" i="5"/>
  <c r="HT26" i="5"/>
  <c r="HU26" i="5"/>
  <c r="HV26" i="5"/>
  <c r="HW26" i="5"/>
  <c r="HX26" i="5"/>
  <c r="HY26" i="5"/>
  <c r="HZ26" i="5"/>
  <c r="IA26" i="5"/>
  <c r="IB26" i="5"/>
  <c r="IC26" i="5"/>
  <c r="ID26" i="5"/>
  <c r="IE26" i="5"/>
  <c r="IF26" i="5"/>
  <c r="IG26" i="5"/>
  <c r="IH26" i="5"/>
  <c r="II26" i="5"/>
  <c r="IJ26" i="5"/>
  <c r="IK26" i="5"/>
  <c r="IL26" i="5"/>
  <c r="IM26" i="5"/>
  <c r="IN26" i="5"/>
  <c r="IO26" i="5"/>
  <c r="IP26" i="5"/>
  <c r="IQ26" i="5"/>
  <c r="IR26" i="5"/>
  <c r="IS26" i="5"/>
  <c r="IT26" i="5"/>
  <c r="IU26" i="5"/>
  <c r="IV26" i="5"/>
  <c r="A25" i="5"/>
  <c r="B25" i="5"/>
  <c r="C25" i="5"/>
  <c r="D25" i="5"/>
  <c r="E25" i="5"/>
  <c r="F25" i="5"/>
  <c r="G25" i="5"/>
  <c r="H25" i="5"/>
  <c r="I25" i="5"/>
  <c r="J25" i="5"/>
  <c r="K25" i="5"/>
  <c r="L25" i="5"/>
  <c r="M25" i="5"/>
  <c r="N25" i="5"/>
  <c r="O25" i="5"/>
  <c r="P25" i="5"/>
  <c r="Q25" i="5"/>
  <c r="R25" i="5"/>
  <c r="S25" i="5"/>
  <c r="T25" i="5"/>
  <c r="U25" i="5"/>
  <c r="V25" i="5"/>
  <c r="W25" i="5"/>
  <c r="X25" i="5"/>
  <c r="Y25" i="5"/>
  <c r="Z25" i="5"/>
  <c r="AA25" i="5"/>
  <c r="AB25" i="5"/>
  <c r="AC25" i="5"/>
  <c r="AD25" i="5"/>
  <c r="AE25" i="5"/>
  <c r="AF25" i="5"/>
  <c r="AG25" i="5"/>
  <c r="AH25" i="5"/>
  <c r="AI25" i="5"/>
  <c r="AJ25" i="5"/>
  <c r="AK25" i="5"/>
  <c r="AL25" i="5"/>
  <c r="AM25" i="5"/>
  <c r="AN25" i="5"/>
  <c r="AO25" i="5"/>
  <c r="AP25" i="5"/>
  <c r="AQ25" i="5"/>
  <c r="AR25" i="5"/>
  <c r="AS25" i="5"/>
  <c r="AT25" i="5"/>
  <c r="AU25" i="5"/>
  <c r="AV25" i="5"/>
  <c r="AW25" i="5"/>
  <c r="AX25" i="5"/>
  <c r="AY25" i="5"/>
  <c r="AZ25" i="5"/>
  <c r="BA25" i="5"/>
  <c r="BB25" i="5"/>
  <c r="BC25" i="5"/>
  <c r="BD25" i="5"/>
  <c r="BE25" i="5"/>
  <c r="BF25" i="5"/>
  <c r="BG25" i="5"/>
  <c r="BH25" i="5"/>
  <c r="BI25" i="5"/>
  <c r="BJ25" i="5"/>
  <c r="BK25" i="5"/>
  <c r="BL25" i="5"/>
  <c r="BM25" i="5"/>
  <c r="BN25" i="5"/>
  <c r="BP25" i="5"/>
  <c r="BQ25" i="5"/>
  <c r="BR25" i="5"/>
  <c r="BS25" i="5"/>
  <c r="BT25" i="5"/>
  <c r="BU25" i="5"/>
  <c r="BV25" i="5"/>
  <c r="BW25" i="5"/>
  <c r="BX25" i="5"/>
  <c r="BY25" i="5"/>
  <c r="BZ25" i="5"/>
  <c r="CA25" i="5"/>
  <c r="CB25" i="5"/>
  <c r="CC25" i="5"/>
  <c r="CD25" i="5"/>
  <c r="CE25" i="5"/>
  <c r="CF25" i="5"/>
  <c r="CG25" i="5"/>
  <c r="CH25" i="5"/>
  <c r="CI25" i="5"/>
  <c r="CJ25" i="5"/>
  <c r="CK25" i="5"/>
  <c r="CL25" i="5"/>
  <c r="CM25" i="5"/>
  <c r="CN25" i="5"/>
  <c r="CO25" i="5"/>
  <c r="CP25" i="5"/>
  <c r="CQ25" i="5"/>
  <c r="CR25" i="5"/>
  <c r="CS25" i="5"/>
  <c r="CT25" i="5"/>
  <c r="CU25" i="5"/>
  <c r="CV25" i="5"/>
  <c r="CW25" i="5"/>
  <c r="CX25" i="5"/>
  <c r="CY25" i="5"/>
  <c r="CZ25" i="5"/>
  <c r="DA25" i="5"/>
  <c r="DB25" i="5"/>
  <c r="DC25" i="5"/>
  <c r="DD25" i="5"/>
  <c r="DE25" i="5"/>
  <c r="DF25" i="5"/>
  <c r="DG25" i="5"/>
  <c r="DH25" i="5"/>
  <c r="DI25" i="5"/>
  <c r="DJ25" i="5"/>
  <c r="DK25" i="5"/>
  <c r="DL25" i="5"/>
  <c r="DM25" i="5"/>
  <c r="DN25" i="5"/>
  <c r="DO25" i="5"/>
  <c r="DP25" i="5"/>
  <c r="DQ25" i="5"/>
  <c r="DR25" i="5"/>
  <c r="DS25" i="5"/>
  <c r="DT25" i="5"/>
  <c r="DU25" i="5"/>
  <c r="DV25" i="5"/>
  <c r="DW25" i="5"/>
  <c r="DX25" i="5"/>
  <c r="DY25" i="5"/>
  <c r="DZ25" i="5"/>
  <c r="EA25" i="5"/>
  <c r="EB25" i="5"/>
  <c r="EC25" i="5"/>
  <c r="ED25" i="5"/>
  <c r="EE25" i="5"/>
  <c r="EF25" i="5"/>
  <c r="EG25" i="5"/>
  <c r="EH25" i="5"/>
  <c r="EI25" i="5"/>
  <c r="EJ25" i="5"/>
  <c r="EK25" i="5"/>
  <c r="EL25" i="5"/>
  <c r="EM25" i="5"/>
  <c r="EN25" i="5"/>
  <c r="EO25" i="5"/>
  <c r="EP25" i="5"/>
  <c r="EQ25" i="5"/>
  <c r="ER25" i="5"/>
  <c r="ES25" i="5"/>
  <c r="ET25" i="5"/>
  <c r="EU25" i="5"/>
  <c r="EV25" i="5"/>
  <c r="EW25" i="5"/>
  <c r="EX25" i="5"/>
  <c r="EY25" i="5"/>
  <c r="EZ25" i="5"/>
  <c r="FA25" i="5"/>
  <c r="FB25" i="5"/>
  <c r="FC25" i="5"/>
  <c r="FD25" i="5"/>
  <c r="FE25" i="5"/>
  <c r="FF25" i="5"/>
  <c r="FG25" i="5"/>
  <c r="FH25" i="5"/>
  <c r="FI25" i="5"/>
  <c r="FJ25" i="5"/>
  <c r="FK25" i="5"/>
  <c r="FL25" i="5"/>
  <c r="FM25" i="5"/>
  <c r="FN25" i="5"/>
  <c r="FO25" i="5"/>
  <c r="FP25" i="5"/>
  <c r="FQ25" i="5"/>
  <c r="FR25" i="5"/>
  <c r="FS25" i="5"/>
  <c r="FT25" i="5"/>
  <c r="FU25" i="5"/>
  <c r="FV25" i="5"/>
  <c r="FW25" i="5"/>
  <c r="FX25" i="5"/>
  <c r="FY25" i="5"/>
  <c r="FZ25" i="5"/>
  <c r="GA25" i="5"/>
  <c r="GB25" i="5"/>
  <c r="GC25" i="5"/>
  <c r="GD25" i="5"/>
  <c r="GE25" i="5"/>
  <c r="GF25" i="5"/>
  <c r="GG25" i="5"/>
  <c r="GH25" i="5"/>
  <c r="GI25" i="5"/>
  <c r="GJ25" i="5"/>
  <c r="GK25" i="5"/>
  <c r="GL25" i="5"/>
  <c r="GM25" i="5"/>
  <c r="GN25" i="5"/>
  <c r="GO25" i="5"/>
  <c r="GP25" i="5"/>
  <c r="GQ25" i="5"/>
  <c r="GR25" i="5"/>
  <c r="GS25" i="5"/>
  <c r="GT25" i="5"/>
  <c r="GU25" i="5"/>
  <c r="GV25" i="5"/>
  <c r="GW25" i="5"/>
  <c r="GX25" i="5"/>
  <c r="GY25" i="5"/>
  <c r="GZ25" i="5"/>
  <c r="HA25" i="5"/>
  <c r="HB25" i="5"/>
  <c r="HC25" i="5"/>
  <c r="HD25" i="5"/>
  <c r="HE25" i="5"/>
  <c r="HF25" i="5"/>
  <c r="HG25" i="5"/>
  <c r="HH25" i="5"/>
  <c r="HI25" i="5"/>
  <c r="HJ25" i="5"/>
  <c r="HK25" i="5"/>
  <c r="HL25" i="5"/>
  <c r="HM25" i="5"/>
  <c r="HN25" i="5"/>
  <c r="HO25" i="5"/>
  <c r="HP25" i="5"/>
  <c r="HQ25" i="5"/>
  <c r="HR25" i="5"/>
  <c r="HS25" i="5"/>
  <c r="HT25" i="5"/>
  <c r="HU25" i="5"/>
  <c r="HV25" i="5"/>
  <c r="HW25" i="5"/>
  <c r="HX25" i="5"/>
  <c r="HY25" i="5"/>
  <c r="HZ25" i="5"/>
  <c r="IA25" i="5"/>
  <c r="IB25" i="5"/>
  <c r="IC25" i="5"/>
  <c r="ID25" i="5"/>
  <c r="IE25" i="5"/>
  <c r="IF25" i="5"/>
  <c r="IG25" i="5"/>
  <c r="IH25" i="5"/>
  <c r="II25" i="5"/>
  <c r="IJ25" i="5"/>
  <c r="IK25" i="5"/>
  <c r="IL25" i="5"/>
  <c r="IM25" i="5"/>
  <c r="IN25" i="5"/>
  <c r="IO25" i="5"/>
  <c r="IP25" i="5"/>
  <c r="IQ25" i="5"/>
  <c r="IR25" i="5"/>
  <c r="IS25" i="5"/>
  <c r="IT25" i="5"/>
  <c r="IU25" i="5"/>
  <c r="IV25" i="5"/>
  <c r="A24" i="5"/>
  <c r="B24" i="5"/>
  <c r="C24" i="5"/>
  <c r="D24" i="5"/>
  <c r="E24" i="5"/>
  <c r="F24" i="5"/>
  <c r="G24" i="5"/>
  <c r="H24" i="5"/>
  <c r="I24" i="5"/>
  <c r="J24" i="5"/>
  <c r="K24" i="5"/>
  <c r="L24" i="5"/>
  <c r="M24" i="5"/>
  <c r="N24" i="5"/>
  <c r="O24" i="5"/>
  <c r="P24" i="5"/>
  <c r="Q24" i="5"/>
  <c r="R24" i="5"/>
  <c r="S24" i="5"/>
  <c r="T24" i="5"/>
  <c r="U24" i="5"/>
  <c r="V24" i="5"/>
  <c r="W24" i="5"/>
  <c r="X24" i="5"/>
  <c r="Y24" i="5"/>
  <c r="Z24" i="5"/>
  <c r="AA24" i="5"/>
  <c r="AB24" i="5"/>
  <c r="AC24" i="5"/>
  <c r="AD24" i="5"/>
  <c r="AE24" i="5"/>
  <c r="AF24" i="5"/>
  <c r="AG24" i="5"/>
  <c r="AH24" i="5"/>
  <c r="AI24" i="5"/>
  <c r="AJ24" i="5"/>
  <c r="AK24" i="5"/>
  <c r="AL24" i="5"/>
  <c r="AM24" i="5"/>
  <c r="AN24" i="5"/>
  <c r="AO24" i="5"/>
  <c r="AP24" i="5"/>
  <c r="AQ24" i="5"/>
  <c r="AR24" i="5"/>
  <c r="AS24" i="5"/>
  <c r="AT24" i="5"/>
  <c r="AU24" i="5"/>
  <c r="AV24" i="5"/>
  <c r="AW24" i="5"/>
  <c r="AX24" i="5"/>
  <c r="AY24" i="5"/>
  <c r="AZ24" i="5"/>
  <c r="BA24" i="5"/>
  <c r="BB24" i="5"/>
  <c r="BC24" i="5"/>
  <c r="BD24" i="5"/>
  <c r="BE24" i="5"/>
  <c r="BF24" i="5"/>
  <c r="BG24" i="5"/>
  <c r="BH24" i="5"/>
  <c r="BI24" i="5"/>
  <c r="BJ24" i="5"/>
  <c r="BK24" i="5"/>
  <c r="BL24" i="5"/>
  <c r="BM24" i="5"/>
  <c r="BN24" i="5"/>
  <c r="BO24" i="5"/>
  <c r="BP24" i="5"/>
  <c r="BQ24" i="5"/>
  <c r="BR24" i="5"/>
  <c r="BS24" i="5"/>
  <c r="BT24" i="5"/>
  <c r="BU24" i="5"/>
  <c r="BV24" i="5"/>
  <c r="BW24" i="5"/>
  <c r="BX24" i="5"/>
  <c r="BY24" i="5"/>
  <c r="BZ24" i="5"/>
  <c r="CA24" i="5"/>
  <c r="CB24" i="5"/>
  <c r="CC24" i="5"/>
  <c r="CD24" i="5"/>
  <c r="CE24" i="5"/>
  <c r="CF24" i="5"/>
  <c r="CG24" i="5"/>
  <c r="CH24" i="5"/>
  <c r="CI24" i="5"/>
  <c r="CJ24" i="5"/>
  <c r="CK24" i="5"/>
  <c r="CL24" i="5"/>
  <c r="CM24" i="5"/>
  <c r="CN24" i="5"/>
  <c r="CO24" i="5"/>
  <c r="CP24" i="5"/>
  <c r="CQ24" i="5"/>
  <c r="CR24" i="5"/>
  <c r="CS24" i="5"/>
  <c r="CT24" i="5"/>
  <c r="CU24" i="5"/>
  <c r="CV24" i="5"/>
  <c r="CW24" i="5"/>
  <c r="CX24" i="5"/>
  <c r="CY24" i="5"/>
  <c r="CZ24" i="5"/>
  <c r="DA24" i="5"/>
  <c r="DB24" i="5"/>
  <c r="DC24" i="5"/>
  <c r="DD24" i="5"/>
  <c r="DE24" i="5"/>
  <c r="DF24" i="5"/>
  <c r="DG24" i="5"/>
  <c r="DH24" i="5"/>
  <c r="DI24" i="5"/>
  <c r="DJ24" i="5"/>
  <c r="DK24" i="5"/>
  <c r="DL24" i="5"/>
  <c r="DM24" i="5"/>
  <c r="DN24" i="5"/>
  <c r="DO24" i="5"/>
  <c r="DP24" i="5"/>
  <c r="DQ24" i="5"/>
  <c r="DR24" i="5"/>
  <c r="DS24" i="5"/>
  <c r="DT24" i="5"/>
  <c r="DU24" i="5"/>
  <c r="DV24" i="5"/>
  <c r="DW24" i="5"/>
  <c r="DX24" i="5"/>
  <c r="DY24" i="5"/>
  <c r="DZ24" i="5"/>
  <c r="EA24" i="5"/>
  <c r="EB24" i="5"/>
  <c r="EC24" i="5"/>
  <c r="ED24" i="5"/>
  <c r="EE24" i="5"/>
  <c r="EF24" i="5"/>
  <c r="EG24" i="5"/>
  <c r="EH24" i="5"/>
  <c r="EI24" i="5"/>
  <c r="EJ24" i="5"/>
  <c r="EK24" i="5"/>
  <c r="EL24" i="5"/>
  <c r="EM24" i="5"/>
  <c r="EN24" i="5"/>
  <c r="EO24" i="5"/>
  <c r="EP24" i="5"/>
  <c r="EQ24" i="5"/>
  <c r="ER24" i="5"/>
  <c r="ES24" i="5"/>
  <c r="ET24" i="5"/>
  <c r="EU24" i="5"/>
  <c r="EV24" i="5"/>
  <c r="EW24" i="5"/>
  <c r="EX24" i="5"/>
  <c r="EY24" i="5"/>
  <c r="EZ24" i="5"/>
  <c r="FA24" i="5"/>
  <c r="FB24" i="5"/>
  <c r="FC24" i="5"/>
  <c r="FD24" i="5"/>
  <c r="FE24" i="5"/>
  <c r="FF24" i="5"/>
  <c r="FG24" i="5"/>
  <c r="FH24" i="5"/>
  <c r="FI24" i="5"/>
  <c r="FJ24" i="5"/>
  <c r="FK24" i="5"/>
  <c r="FL24" i="5"/>
  <c r="FM24" i="5"/>
  <c r="FN24" i="5"/>
  <c r="FO24" i="5"/>
  <c r="FP24" i="5"/>
  <c r="FQ24" i="5"/>
  <c r="FR24" i="5"/>
  <c r="FS24" i="5"/>
  <c r="FT24" i="5"/>
  <c r="FU24" i="5"/>
  <c r="FV24" i="5"/>
  <c r="FW24" i="5"/>
  <c r="FX24" i="5"/>
  <c r="FY24" i="5"/>
  <c r="FZ24" i="5"/>
  <c r="GA24" i="5"/>
  <c r="GB24" i="5"/>
  <c r="GC24" i="5"/>
  <c r="GD24" i="5"/>
  <c r="GE24" i="5"/>
  <c r="GF24" i="5"/>
  <c r="GG24" i="5"/>
  <c r="GH24" i="5"/>
  <c r="GI24" i="5"/>
  <c r="GJ24" i="5"/>
  <c r="GK24" i="5"/>
  <c r="GL24" i="5"/>
  <c r="GM24" i="5"/>
  <c r="GN24" i="5"/>
  <c r="GO24" i="5"/>
  <c r="GP24" i="5"/>
  <c r="GQ24" i="5"/>
  <c r="GR24" i="5"/>
  <c r="GS24" i="5"/>
  <c r="GT24" i="5"/>
  <c r="GU24" i="5"/>
  <c r="GV24" i="5"/>
  <c r="GW24" i="5"/>
  <c r="GX24" i="5"/>
  <c r="GY24" i="5"/>
  <c r="GZ24" i="5"/>
  <c r="HA24" i="5"/>
  <c r="HB24" i="5"/>
  <c r="HC24" i="5"/>
  <c r="HD24" i="5"/>
  <c r="HE24" i="5"/>
  <c r="HF24" i="5"/>
  <c r="HG24" i="5"/>
  <c r="HH24" i="5"/>
  <c r="HI24" i="5"/>
  <c r="HJ24" i="5"/>
  <c r="HK24" i="5"/>
  <c r="HL24" i="5"/>
  <c r="HM24" i="5"/>
  <c r="HN24" i="5"/>
  <c r="HO24" i="5"/>
  <c r="HP24" i="5"/>
  <c r="HQ24" i="5"/>
  <c r="HR24" i="5"/>
  <c r="HS24" i="5"/>
  <c r="HT24" i="5"/>
  <c r="HU24" i="5"/>
  <c r="HV24" i="5"/>
  <c r="HW24" i="5"/>
  <c r="HX24" i="5"/>
  <c r="HY24" i="5"/>
  <c r="HZ24" i="5"/>
  <c r="IA24" i="5"/>
  <c r="IB24" i="5"/>
  <c r="IC24" i="5"/>
  <c r="ID24" i="5"/>
  <c r="IE24" i="5"/>
  <c r="IF24" i="5"/>
  <c r="IG24" i="5"/>
  <c r="IH24" i="5"/>
  <c r="II24" i="5"/>
  <c r="IJ24" i="5"/>
  <c r="IK24" i="5"/>
  <c r="IL24" i="5"/>
  <c r="IM24" i="5"/>
  <c r="IN24" i="5"/>
  <c r="IO24" i="5"/>
  <c r="IP24" i="5"/>
  <c r="IQ24" i="5"/>
  <c r="IR24" i="5"/>
  <c r="IS24" i="5"/>
  <c r="IT24" i="5"/>
  <c r="IU24" i="5"/>
  <c r="IV24" i="5"/>
  <c r="A23" i="5"/>
  <c r="B23" i="5"/>
  <c r="C23" i="5"/>
  <c r="D23" i="5"/>
  <c r="E23" i="5"/>
  <c r="F23" i="5"/>
  <c r="G23" i="5"/>
  <c r="H23" i="5"/>
  <c r="I23" i="5"/>
  <c r="J23" i="5"/>
  <c r="K23" i="5"/>
  <c r="L23" i="5"/>
  <c r="M23" i="5"/>
  <c r="N23" i="5"/>
  <c r="O23" i="5"/>
  <c r="P23" i="5"/>
  <c r="Q23" i="5"/>
  <c r="R23" i="5"/>
  <c r="S23" i="5"/>
  <c r="T23" i="5"/>
  <c r="U23" i="5"/>
  <c r="V23" i="5"/>
  <c r="W23" i="5"/>
  <c r="X23" i="5"/>
  <c r="Y23" i="5"/>
  <c r="Z23" i="5"/>
  <c r="AB23" i="5"/>
  <c r="AC23" i="5"/>
  <c r="AD23" i="5"/>
  <c r="AE23" i="5"/>
  <c r="AF23" i="5"/>
  <c r="AG23" i="5"/>
  <c r="AH23" i="5"/>
  <c r="AI23" i="5"/>
  <c r="AJ23" i="5"/>
  <c r="AK23" i="5"/>
  <c r="AL23" i="5"/>
  <c r="AM23" i="5"/>
  <c r="AN23" i="5"/>
  <c r="AO23" i="5"/>
  <c r="AP23" i="5"/>
  <c r="AQ23" i="5"/>
  <c r="AR23" i="5"/>
  <c r="AS23" i="5"/>
  <c r="AT23" i="5"/>
  <c r="AU23" i="5"/>
  <c r="AV23" i="5"/>
  <c r="AW23" i="5"/>
  <c r="AX23" i="5"/>
  <c r="AY23" i="5"/>
  <c r="AZ23" i="5"/>
  <c r="BA23" i="5"/>
  <c r="BB23" i="5"/>
  <c r="BC23" i="5"/>
  <c r="BD23" i="5"/>
  <c r="BE23" i="5"/>
  <c r="BF23" i="5"/>
  <c r="BG23" i="5"/>
  <c r="BH23" i="5"/>
  <c r="BI23" i="5"/>
  <c r="BJ23" i="5"/>
  <c r="BK23" i="5"/>
  <c r="BL23" i="5"/>
  <c r="BM23" i="5"/>
  <c r="BN23" i="5"/>
  <c r="BO23" i="5"/>
  <c r="BP23" i="5"/>
  <c r="BQ23" i="5"/>
  <c r="BR23" i="5"/>
  <c r="BS23" i="5"/>
  <c r="BT23" i="5"/>
  <c r="BU23" i="5"/>
  <c r="BV23" i="5"/>
  <c r="BW23" i="5"/>
  <c r="BX23" i="5"/>
  <c r="BY23" i="5"/>
  <c r="BZ23" i="5"/>
  <c r="CA23" i="5"/>
  <c r="CB23" i="5"/>
  <c r="CC23" i="5"/>
  <c r="CD23" i="5"/>
  <c r="CE23" i="5"/>
  <c r="CF23" i="5"/>
  <c r="CG23" i="5"/>
  <c r="CH23" i="5"/>
  <c r="CI23" i="5"/>
  <c r="CJ23" i="5"/>
  <c r="CK23" i="5"/>
  <c r="CL23" i="5"/>
  <c r="CM23" i="5"/>
  <c r="CN23" i="5"/>
  <c r="CO23" i="5"/>
  <c r="CP23" i="5"/>
  <c r="CQ23" i="5"/>
  <c r="CR23" i="5"/>
  <c r="CS23" i="5"/>
  <c r="CT23" i="5"/>
  <c r="CU23" i="5"/>
  <c r="CV23" i="5"/>
  <c r="CW23" i="5"/>
  <c r="CX23" i="5"/>
  <c r="CY23" i="5"/>
  <c r="CZ23" i="5"/>
  <c r="DA23" i="5"/>
  <c r="DB23" i="5"/>
  <c r="DC23" i="5"/>
  <c r="DD23" i="5"/>
  <c r="DE23" i="5"/>
  <c r="DF23" i="5"/>
  <c r="DG23" i="5"/>
  <c r="DH23" i="5"/>
  <c r="DI23" i="5"/>
  <c r="DJ23" i="5"/>
  <c r="DK23" i="5"/>
  <c r="DL23" i="5"/>
  <c r="DM23" i="5"/>
  <c r="DN23" i="5"/>
  <c r="DO23" i="5"/>
  <c r="DP23" i="5"/>
  <c r="DQ23" i="5"/>
  <c r="DR23" i="5"/>
  <c r="DS23" i="5"/>
  <c r="DT23" i="5"/>
  <c r="DU23" i="5"/>
  <c r="DV23" i="5"/>
  <c r="DW23" i="5"/>
  <c r="DX23" i="5"/>
  <c r="DY23" i="5"/>
  <c r="DZ23" i="5"/>
  <c r="EA23" i="5"/>
  <c r="EB23" i="5"/>
  <c r="EC23" i="5"/>
  <c r="ED23" i="5"/>
  <c r="EE23" i="5"/>
  <c r="EF23" i="5"/>
  <c r="EG23" i="5"/>
  <c r="EH23" i="5"/>
  <c r="EI23" i="5"/>
  <c r="EJ23" i="5"/>
  <c r="EK23" i="5"/>
  <c r="EL23" i="5"/>
  <c r="EM23" i="5"/>
  <c r="EN23" i="5"/>
  <c r="EO23" i="5"/>
  <c r="EP23" i="5"/>
  <c r="EQ23" i="5"/>
  <c r="ER23" i="5"/>
  <c r="ES23" i="5"/>
  <c r="ET23" i="5"/>
  <c r="EU23" i="5"/>
  <c r="EV23" i="5"/>
  <c r="EW23" i="5"/>
  <c r="EX23" i="5"/>
  <c r="EY23" i="5"/>
  <c r="EZ23" i="5"/>
  <c r="FA23" i="5"/>
  <c r="FB23" i="5"/>
  <c r="FC23" i="5"/>
  <c r="FD23" i="5"/>
  <c r="FE23" i="5"/>
  <c r="FF23" i="5"/>
  <c r="FG23" i="5"/>
  <c r="FH23" i="5"/>
  <c r="FI23" i="5"/>
  <c r="FJ23" i="5"/>
  <c r="FK23" i="5"/>
  <c r="FL23" i="5"/>
  <c r="FM23" i="5"/>
  <c r="FN23" i="5"/>
  <c r="FO23" i="5"/>
  <c r="FP23" i="5"/>
  <c r="FQ23" i="5"/>
  <c r="FR23" i="5"/>
  <c r="FS23" i="5"/>
  <c r="FT23" i="5"/>
  <c r="FU23" i="5"/>
  <c r="FV23" i="5"/>
  <c r="FW23" i="5"/>
  <c r="FX23" i="5"/>
  <c r="FY23" i="5"/>
  <c r="FZ23" i="5"/>
  <c r="GA23" i="5"/>
  <c r="GB23" i="5"/>
  <c r="GC23" i="5"/>
  <c r="GD23" i="5"/>
  <c r="GE23" i="5"/>
  <c r="GF23" i="5"/>
  <c r="GG23" i="5"/>
  <c r="GH23" i="5"/>
  <c r="GI23" i="5"/>
  <c r="GJ23" i="5"/>
  <c r="GK23" i="5"/>
  <c r="GL23" i="5"/>
  <c r="GM23" i="5"/>
  <c r="GN23" i="5"/>
  <c r="GO23" i="5"/>
  <c r="GP23" i="5"/>
  <c r="GQ23" i="5"/>
  <c r="GR23" i="5"/>
  <c r="GS23" i="5"/>
  <c r="GT23" i="5"/>
  <c r="GU23" i="5"/>
  <c r="GV23" i="5"/>
  <c r="GW23" i="5"/>
  <c r="GX23" i="5"/>
  <c r="GY23" i="5"/>
  <c r="GZ23" i="5"/>
  <c r="HA23" i="5"/>
  <c r="HB23" i="5"/>
  <c r="HC23" i="5"/>
  <c r="HD23" i="5"/>
  <c r="HE23" i="5"/>
  <c r="HF23" i="5"/>
  <c r="HG23" i="5"/>
  <c r="HH23" i="5"/>
  <c r="HI23" i="5"/>
  <c r="HJ23" i="5"/>
  <c r="HK23" i="5"/>
  <c r="HL23" i="5"/>
  <c r="HM23" i="5"/>
  <c r="HN23" i="5"/>
  <c r="HO23" i="5"/>
  <c r="HP23" i="5"/>
  <c r="HQ23" i="5"/>
  <c r="HR23" i="5"/>
  <c r="HS23" i="5"/>
  <c r="HT23" i="5"/>
  <c r="HU23" i="5"/>
  <c r="HV23" i="5"/>
  <c r="HW23" i="5"/>
  <c r="HX23" i="5"/>
  <c r="HY23" i="5"/>
  <c r="HZ23" i="5"/>
  <c r="IA23" i="5"/>
  <c r="IB23" i="5"/>
  <c r="IC23" i="5"/>
  <c r="ID23" i="5"/>
  <c r="IE23" i="5"/>
  <c r="IF23" i="5"/>
  <c r="IG23" i="5"/>
  <c r="IH23" i="5"/>
  <c r="II23" i="5"/>
  <c r="IJ23" i="5"/>
  <c r="IK23" i="5"/>
  <c r="IL23" i="5"/>
  <c r="IM23" i="5"/>
  <c r="IN23" i="5"/>
  <c r="IO23" i="5"/>
  <c r="IP23" i="5"/>
  <c r="IQ23" i="5"/>
  <c r="IR23" i="5"/>
  <c r="IS23" i="5"/>
  <c r="IT23" i="5"/>
  <c r="IU23" i="5"/>
  <c r="IV23" i="5"/>
  <c r="A22" i="5"/>
  <c r="B22" i="5"/>
  <c r="C22" i="5"/>
  <c r="D22" i="5"/>
  <c r="E22" i="5"/>
  <c r="F22" i="5"/>
  <c r="G22" i="5"/>
  <c r="H22" i="5"/>
  <c r="I22" i="5"/>
  <c r="J22" i="5"/>
  <c r="K22" i="5"/>
  <c r="L22" i="5"/>
  <c r="M22" i="5"/>
  <c r="N22" i="5"/>
  <c r="O22" i="5"/>
  <c r="P22" i="5"/>
  <c r="Q22" i="5"/>
  <c r="R22" i="5"/>
  <c r="S22" i="5"/>
  <c r="T22" i="5"/>
  <c r="U22" i="5"/>
  <c r="V22" i="5"/>
  <c r="W22" i="5"/>
  <c r="X22" i="5"/>
  <c r="Y22" i="5"/>
  <c r="Z22" i="5"/>
  <c r="AA22" i="5"/>
  <c r="AB22" i="5"/>
  <c r="AC22" i="5"/>
  <c r="AD22" i="5"/>
  <c r="AE22" i="5"/>
  <c r="AF22" i="5"/>
  <c r="AG22" i="5"/>
  <c r="AH22" i="5"/>
  <c r="AI22" i="5"/>
  <c r="AJ22" i="5"/>
  <c r="AK22" i="5"/>
  <c r="AL22" i="5"/>
  <c r="AM22" i="5"/>
  <c r="AN22" i="5"/>
  <c r="AO22" i="5"/>
  <c r="AP22" i="5"/>
  <c r="AQ22" i="5"/>
  <c r="AR22" i="5"/>
  <c r="AS22" i="5"/>
  <c r="AT22" i="5"/>
  <c r="AU22" i="5"/>
  <c r="AV22" i="5"/>
  <c r="AW22" i="5"/>
  <c r="AX22" i="5"/>
  <c r="AY22" i="5"/>
  <c r="AZ22" i="5"/>
  <c r="BA22" i="5"/>
  <c r="BB22" i="5"/>
  <c r="BC22" i="5"/>
  <c r="BD22" i="5"/>
  <c r="BE22" i="5"/>
  <c r="BF22" i="5"/>
  <c r="BG22" i="5"/>
  <c r="BH22" i="5"/>
  <c r="BI22" i="5"/>
  <c r="BJ22" i="5"/>
  <c r="BK22" i="5"/>
  <c r="BL22" i="5"/>
  <c r="BM22" i="5"/>
  <c r="BN22" i="5"/>
  <c r="BO22" i="5"/>
  <c r="BP22" i="5"/>
  <c r="BQ22" i="5"/>
  <c r="BR22" i="5"/>
  <c r="BS22" i="5"/>
  <c r="BT22" i="5"/>
  <c r="BU22" i="5"/>
  <c r="BV22" i="5"/>
  <c r="BW22" i="5"/>
  <c r="BX22" i="5"/>
  <c r="BY22" i="5"/>
  <c r="BZ22" i="5"/>
  <c r="CA22" i="5"/>
  <c r="CB22" i="5"/>
  <c r="CC22" i="5"/>
  <c r="CD22" i="5"/>
  <c r="CE22" i="5"/>
  <c r="CF22" i="5"/>
  <c r="CG22" i="5"/>
  <c r="CH22" i="5"/>
  <c r="CI22" i="5"/>
  <c r="CJ22" i="5"/>
  <c r="CK22" i="5"/>
  <c r="CL22" i="5"/>
  <c r="CM22" i="5"/>
  <c r="CN22" i="5"/>
  <c r="CO22" i="5"/>
  <c r="CP22" i="5"/>
  <c r="CQ22" i="5"/>
  <c r="CR22" i="5"/>
  <c r="CS22" i="5"/>
  <c r="CT22" i="5"/>
  <c r="CU22" i="5"/>
  <c r="CV22" i="5"/>
  <c r="CW22" i="5"/>
  <c r="CX22" i="5"/>
  <c r="CY22" i="5"/>
  <c r="CZ22" i="5"/>
  <c r="DA22" i="5"/>
  <c r="DB22" i="5"/>
  <c r="DC22" i="5"/>
  <c r="DD22" i="5"/>
  <c r="DE22" i="5"/>
  <c r="DF22" i="5"/>
  <c r="DG22" i="5"/>
  <c r="DH22" i="5"/>
  <c r="DI22" i="5"/>
  <c r="DJ22" i="5"/>
  <c r="DK22" i="5"/>
  <c r="DL22" i="5"/>
  <c r="DM22" i="5"/>
  <c r="DN22" i="5"/>
  <c r="DO22" i="5"/>
  <c r="DP22" i="5"/>
  <c r="DQ22" i="5"/>
  <c r="DR22" i="5"/>
  <c r="DS22" i="5"/>
  <c r="DT22" i="5"/>
  <c r="DU22" i="5"/>
  <c r="DV22" i="5"/>
  <c r="DW22" i="5"/>
  <c r="DX22" i="5"/>
  <c r="DY22" i="5"/>
  <c r="DZ22" i="5"/>
  <c r="EA22" i="5"/>
  <c r="EB22" i="5"/>
  <c r="EC22" i="5"/>
  <c r="ED22" i="5"/>
  <c r="EE22" i="5"/>
  <c r="EF22" i="5"/>
  <c r="EG22" i="5"/>
  <c r="EH22" i="5"/>
  <c r="EI22" i="5"/>
  <c r="EJ22" i="5"/>
  <c r="EK22" i="5"/>
  <c r="EL22" i="5"/>
  <c r="EM22" i="5"/>
  <c r="EN22" i="5"/>
  <c r="EO22" i="5"/>
  <c r="EP22" i="5"/>
  <c r="EQ22" i="5"/>
  <c r="ER22" i="5"/>
  <c r="ES22" i="5"/>
  <c r="ET22" i="5"/>
  <c r="EU22" i="5"/>
  <c r="EV22" i="5"/>
  <c r="EW22" i="5"/>
  <c r="EX22" i="5"/>
  <c r="EY22" i="5"/>
  <c r="EZ22" i="5"/>
  <c r="FA22" i="5"/>
  <c r="FB22" i="5"/>
  <c r="FC22" i="5"/>
  <c r="FD22" i="5"/>
  <c r="FE22" i="5"/>
  <c r="FF22" i="5"/>
  <c r="FG22" i="5"/>
  <c r="FH22" i="5"/>
  <c r="FI22" i="5"/>
  <c r="FJ22" i="5"/>
  <c r="FK22" i="5"/>
  <c r="FL22" i="5"/>
  <c r="FM22" i="5"/>
  <c r="FN22" i="5"/>
  <c r="FO22" i="5"/>
  <c r="FP22" i="5"/>
  <c r="FQ22" i="5"/>
  <c r="FR22" i="5"/>
  <c r="FS22" i="5"/>
  <c r="FT22" i="5"/>
  <c r="FU22" i="5"/>
  <c r="FV22" i="5"/>
  <c r="FW22" i="5"/>
  <c r="FX22" i="5"/>
  <c r="FY22" i="5"/>
  <c r="FZ22" i="5"/>
  <c r="GA22" i="5"/>
  <c r="GB22" i="5"/>
  <c r="GC22" i="5"/>
  <c r="GD22" i="5"/>
  <c r="GE22" i="5"/>
  <c r="GF22" i="5"/>
  <c r="GG22" i="5"/>
  <c r="GH22" i="5"/>
  <c r="GI22" i="5"/>
  <c r="GJ22" i="5"/>
  <c r="GK22" i="5"/>
  <c r="GL22" i="5"/>
  <c r="GM22" i="5"/>
  <c r="GN22" i="5"/>
  <c r="GO22" i="5"/>
  <c r="GP22" i="5"/>
  <c r="GQ22" i="5"/>
  <c r="GR22" i="5"/>
  <c r="GS22" i="5"/>
  <c r="GT22" i="5"/>
  <c r="GU22" i="5"/>
  <c r="GV22" i="5"/>
  <c r="GW22" i="5"/>
  <c r="GX22" i="5"/>
  <c r="GY22" i="5"/>
  <c r="GZ22" i="5"/>
  <c r="HA22" i="5"/>
  <c r="HB22" i="5"/>
  <c r="HC22" i="5"/>
  <c r="HD22" i="5"/>
  <c r="HE22" i="5"/>
  <c r="HF22" i="5"/>
  <c r="HG22" i="5"/>
  <c r="HH22" i="5"/>
  <c r="HI22" i="5"/>
  <c r="HJ22" i="5"/>
  <c r="HK22" i="5"/>
  <c r="HL22" i="5"/>
  <c r="HM22" i="5"/>
  <c r="HN22" i="5"/>
  <c r="HO22" i="5"/>
  <c r="HP22" i="5"/>
  <c r="HQ22" i="5"/>
  <c r="HR22" i="5"/>
  <c r="HS22" i="5"/>
  <c r="HT22" i="5"/>
  <c r="HU22" i="5"/>
  <c r="HV22" i="5"/>
  <c r="HW22" i="5"/>
  <c r="HX22" i="5"/>
  <c r="HY22" i="5"/>
  <c r="HZ22" i="5"/>
  <c r="IA22" i="5"/>
  <c r="IB22" i="5"/>
  <c r="IC22" i="5"/>
  <c r="ID22" i="5"/>
  <c r="IE22" i="5"/>
  <c r="IF22" i="5"/>
  <c r="IG22" i="5"/>
  <c r="IH22" i="5"/>
  <c r="II22" i="5"/>
  <c r="IJ22" i="5"/>
  <c r="IK22" i="5"/>
  <c r="IL22" i="5"/>
  <c r="IM22" i="5"/>
  <c r="IN22" i="5"/>
  <c r="IO22" i="5"/>
  <c r="IP22" i="5"/>
  <c r="IQ22" i="5"/>
  <c r="IR22" i="5"/>
  <c r="IS22" i="5"/>
  <c r="IT22" i="5"/>
  <c r="IU22" i="5"/>
  <c r="IV22" i="5"/>
  <c r="A21" i="5"/>
  <c r="B21" i="5"/>
  <c r="C21" i="5"/>
  <c r="D21" i="5"/>
  <c r="E21" i="5"/>
  <c r="F21" i="5"/>
  <c r="G21" i="5"/>
  <c r="H21" i="5"/>
  <c r="I21" i="5"/>
  <c r="J21" i="5"/>
  <c r="K21" i="5"/>
  <c r="L21" i="5"/>
  <c r="M21" i="5"/>
  <c r="N21" i="5"/>
  <c r="O21" i="5"/>
  <c r="P21" i="5"/>
  <c r="Q21" i="5"/>
  <c r="R21" i="5"/>
  <c r="S21" i="5"/>
  <c r="T21" i="5"/>
  <c r="U21" i="5"/>
  <c r="V21" i="5"/>
  <c r="W21" i="5"/>
  <c r="X21" i="5"/>
  <c r="Y21" i="5"/>
  <c r="Z21" i="5"/>
  <c r="AA21" i="5"/>
  <c r="AB21" i="5"/>
  <c r="AC21" i="5"/>
  <c r="AD21" i="5"/>
  <c r="AE21" i="5"/>
  <c r="AF21" i="5"/>
  <c r="AG21" i="5"/>
  <c r="AH21" i="5"/>
  <c r="AI21" i="5"/>
  <c r="AJ21" i="5"/>
  <c r="AK21" i="5"/>
  <c r="AL21" i="5"/>
  <c r="AM21" i="5"/>
  <c r="AN21" i="5"/>
  <c r="AO21" i="5"/>
  <c r="AP21" i="5"/>
  <c r="AQ21" i="5"/>
  <c r="AR21" i="5"/>
  <c r="AS21" i="5"/>
  <c r="AT21" i="5"/>
  <c r="AU21" i="5"/>
  <c r="AV21" i="5"/>
  <c r="AW21" i="5"/>
  <c r="AX21" i="5"/>
  <c r="AY21" i="5"/>
  <c r="AZ21" i="5"/>
  <c r="BA21" i="5"/>
  <c r="BB21" i="5"/>
  <c r="BC21" i="5"/>
  <c r="BD21" i="5"/>
  <c r="BE21" i="5"/>
  <c r="BF21" i="5"/>
  <c r="BG21" i="5"/>
  <c r="BH21" i="5"/>
  <c r="BI21" i="5"/>
  <c r="BJ21" i="5"/>
  <c r="BK21" i="5"/>
  <c r="BL21" i="5"/>
  <c r="BM21" i="5"/>
  <c r="BN21" i="5"/>
  <c r="BO21" i="5"/>
  <c r="BP21" i="5"/>
  <c r="BQ21" i="5"/>
  <c r="BR21" i="5"/>
  <c r="BS21" i="5"/>
  <c r="BT21" i="5"/>
  <c r="BU21" i="5"/>
  <c r="BV21" i="5"/>
  <c r="BW21" i="5"/>
  <c r="BX21" i="5"/>
  <c r="BY21" i="5"/>
  <c r="BZ21" i="5"/>
  <c r="CA21" i="5"/>
  <c r="CB21" i="5"/>
  <c r="CC21" i="5"/>
  <c r="CD21" i="5"/>
  <c r="CE21" i="5"/>
  <c r="CF21" i="5"/>
  <c r="CG21" i="5"/>
  <c r="CH21" i="5"/>
  <c r="CI21" i="5"/>
  <c r="CJ21" i="5"/>
  <c r="CK21" i="5"/>
  <c r="CL21" i="5"/>
  <c r="CM21" i="5"/>
  <c r="CN21" i="5"/>
  <c r="CO21" i="5"/>
  <c r="CP21" i="5"/>
  <c r="CQ21" i="5"/>
  <c r="CR21" i="5"/>
  <c r="CS21" i="5"/>
  <c r="CT21" i="5"/>
  <c r="CU21" i="5"/>
  <c r="CV21" i="5"/>
  <c r="CW21" i="5"/>
  <c r="CX21" i="5"/>
  <c r="CY21" i="5"/>
  <c r="CZ21" i="5"/>
  <c r="DA21" i="5"/>
  <c r="DB21" i="5"/>
  <c r="DC21" i="5"/>
  <c r="DD21" i="5"/>
  <c r="DE21" i="5"/>
  <c r="DF21" i="5"/>
  <c r="DG21" i="5"/>
  <c r="DH21" i="5"/>
  <c r="DI21" i="5"/>
  <c r="DJ21" i="5"/>
  <c r="DK21" i="5"/>
  <c r="DL21" i="5"/>
  <c r="DM21" i="5"/>
  <c r="DN21" i="5"/>
  <c r="DO21" i="5"/>
  <c r="DP21" i="5"/>
  <c r="DQ21" i="5"/>
  <c r="DR21" i="5"/>
  <c r="DS21" i="5"/>
  <c r="DT21" i="5"/>
  <c r="DU21" i="5"/>
  <c r="DV21" i="5"/>
  <c r="DW21" i="5"/>
  <c r="DX21" i="5"/>
  <c r="DY21" i="5"/>
  <c r="DZ21" i="5"/>
  <c r="EA21" i="5"/>
  <c r="EB21" i="5"/>
  <c r="EC21" i="5"/>
  <c r="ED21" i="5"/>
  <c r="EE21" i="5"/>
  <c r="EF21" i="5"/>
  <c r="EG21" i="5"/>
  <c r="EH21" i="5"/>
  <c r="EI21" i="5"/>
  <c r="EJ21" i="5"/>
  <c r="EK21" i="5"/>
  <c r="EL21" i="5"/>
  <c r="EM21" i="5"/>
  <c r="EN21" i="5"/>
  <c r="EO21" i="5"/>
  <c r="EP21" i="5"/>
  <c r="EQ21" i="5"/>
  <c r="ER21" i="5"/>
  <c r="ES21" i="5"/>
  <c r="ET21" i="5"/>
  <c r="EU21" i="5"/>
  <c r="EV21" i="5"/>
  <c r="EW21" i="5"/>
  <c r="EX21" i="5"/>
  <c r="EY21" i="5"/>
  <c r="EZ21" i="5"/>
  <c r="FA21" i="5"/>
  <c r="FB21" i="5"/>
  <c r="FC21" i="5"/>
  <c r="FD21" i="5"/>
  <c r="FE21" i="5"/>
  <c r="FF21" i="5"/>
  <c r="FG21" i="5"/>
  <c r="FH21" i="5"/>
  <c r="FI21" i="5"/>
  <c r="FJ21" i="5"/>
  <c r="FK21" i="5"/>
  <c r="FL21" i="5"/>
  <c r="FM21" i="5"/>
  <c r="FN21" i="5"/>
  <c r="FO21" i="5"/>
  <c r="FP21" i="5"/>
  <c r="FQ21" i="5"/>
  <c r="FR21" i="5"/>
  <c r="FS21" i="5"/>
  <c r="FT21" i="5"/>
  <c r="FU21" i="5"/>
  <c r="FV21" i="5"/>
  <c r="FW21" i="5"/>
  <c r="FX21" i="5"/>
  <c r="FY21" i="5"/>
  <c r="FZ21" i="5"/>
  <c r="GA21" i="5"/>
  <c r="GB21" i="5"/>
  <c r="GC21" i="5"/>
  <c r="GD21" i="5"/>
  <c r="GE21" i="5"/>
  <c r="GF21" i="5"/>
  <c r="GG21" i="5"/>
  <c r="GH21" i="5"/>
  <c r="GI21" i="5"/>
  <c r="GJ21" i="5"/>
  <c r="GK21" i="5"/>
  <c r="GL21" i="5"/>
  <c r="GM21" i="5"/>
  <c r="GN21" i="5"/>
  <c r="GO21" i="5"/>
  <c r="GP21" i="5"/>
  <c r="GQ21" i="5"/>
  <c r="GR21" i="5"/>
  <c r="GS21" i="5"/>
  <c r="GT21" i="5"/>
  <c r="GU21" i="5"/>
  <c r="GV21" i="5"/>
  <c r="GW21" i="5"/>
  <c r="GX21" i="5"/>
  <c r="GY21" i="5"/>
  <c r="GZ21" i="5"/>
  <c r="HA21" i="5"/>
  <c r="HB21" i="5"/>
  <c r="HC21" i="5"/>
  <c r="HD21" i="5"/>
  <c r="HE21" i="5"/>
  <c r="HF21" i="5"/>
  <c r="HG21" i="5"/>
  <c r="HH21" i="5"/>
  <c r="HI21" i="5"/>
  <c r="HJ21" i="5"/>
  <c r="HK21" i="5"/>
  <c r="HL21" i="5"/>
  <c r="HM21" i="5"/>
  <c r="HN21" i="5"/>
  <c r="HO21" i="5"/>
  <c r="HP21" i="5"/>
  <c r="HQ21" i="5"/>
  <c r="HR21" i="5"/>
  <c r="HS21" i="5"/>
  <c r="HT21" i="5"/>
  <c r="HU21" i="5"/>
  <c r="HV21" i="5"/>
  <c r="HW21" i="5"/>
  <c r="HX21" i="5"/>
  <c r="HY21" i="5"/>
  <c r="HZ21" i="5"/>
  <c r="IA21" i="5"/>
  <c r="IB21" i="5"/>
  <c r="IC21" i="5"/>
  <c r="ID21" i="5"/>
  <c r="IE21" i="5"/>
  <c r="IF21" i="5"/>
  <c r="IG21" i="5"/>
  <c r="IH21" i="5"/>
  <c r="II21" i="5"/>
  <c r="IJ21" i="5"/>
  <c r="IK21" i="5"/>
  <c r="IL21" i="5"/>
  <c r="IM21" i="5"/>
  <c r="IN21" i="5"/>
  <c r="IO21" i="5"/>
  <c r="IP21" i="5"/>
  <c r="IQ21" i="5"/>
  <c r="IR21" i="5"/>
  <c r="IS21" i="5"/>
  <c r="IT21" i="5"/>
  <c r="IU21" i="5"/>
  <c r="IV21" i="5"/>
  <c r="A20" i="5"/>
  <c r="B20" i="5"/>
  <c r="C20" i="5"/>
  <c r="D20" i="5"/>
  <c r="E20" i="5"/>
  <c r="F20" i="5"/>
  <c r="G20" i="5"/>
  <c r="H20" i="5"/>
  <c r="I20" i="5"/>
  <c r="J20" i="5"/>
  <c r="K20" i="5"/>
  <c r="L20" i="5"/>
  <c r="M20" i="5"/>
  <c r="N20" i="5"/>
  <c r="O20" i="5"/>
  <c r="P20" i="5"/>
  <c r="Q20" i="5"/>
  <c r="R20" i="5"/>
  <c r="S20" i="5"/>
  <c r="T20" i="5"/>
  <c r="U20" i="5"/>
  <c r="V20" i="5"/>
  <c r="W20" i="5"/>
  <c r="X20" i="5"/>
  <c r="Y20" i="5"/>
  <c r="Z20" i="5"/>
  <c r="AA20" i="5"/>
  <c r="AB20" i="5"/>
  <c r="AC20" i="5"/>
  <c r="AD20" i="5"/>
  <c r="AE20" i="5"/>
  <c r="AF20" i="5"/>
  <c r="AG20" i="5"/>
  <c r="AH20" i="5"/>
  <c r="AI20" i="5"/>
  <c r="AJ20" i="5"/>
  <c r="AK20" i="5"/>
  <c r="AL20" i="5"/>
  <c r="AM20" i="5"/>
  <c r="AN20" i="5"/>
  <c r="AO20" i="5"/>
  <c r="AP20" i="5"/>
  <c r="AQ20" i="5"/>
  <c r="AR20" i="5"/>
  <c r="AS20" i="5"/>
  <c r="AT20" i="5"/>
  <c r="AU20" i="5"/>
  <c r="AV20" i="5"/>
  <c r="AW20" i="5"/>
  <c r="AX20" i="5"/>
  <c r="AY20" i="5"/>
  <c r="AZ20" i="5"/>
  <c r="BA20" i="5"/>
  <c r="BB20" i="5"/>
  <c r="BC20" i="5"/>
  <c r="BD20" i="5"/>
  <c r="BE20" i="5"/>
  <c r="BF20" i="5"/>
  <c r="BG20" i="5"/>
  <c r="BH20" i="5"/>
  <c r="BI20" i="5"/>
  <c r="BJ20" i="5"/>
  <c r="BK20" i="5"/>
  <c r="BL20" i="5"/>
  <c r="BM20" i="5"/>
  <c r="BN20" i="5"/>
  <c r="BO20" i="5"/>
  <c r="BP20" i="5"/>
  <c r="BQ20" i="5"/>
  <c r="BR20" i="5"/>
  <c r="BS20" i="5"/>
  <c r="BT20" i="5"/>
  <c r="BU20" i="5"/>
  <c r="BV20" i="5"/>
  <c r="BW20" i="5"/>
  <c r="BX20" i="5"/>
  <c r="BY20" i="5"/>
  <c r="BZ20" i="5"/>
  <c r="CA20" i="5"/>
  <c r="CB20" i="5"/>
  <c r="CC20" i="5"/>
  <c r="CD20" i="5"/>
  <c r="CE20" i="5"/>
  <c r="CF20" i="5"/>
  <c r="CG20" i="5"/>
  <c r="CH20" i="5"/>
  <c r="CI20" i="5"/>
  <c r="CJ20" i="5"/>
  <c r="CK20" i="5"/>
  <c r="CL20" i="5"/>
  <c r="CM20" i="5"/>
  <c r="CN20" i="5"/>
  <c r="CO20" i="5"/>
  <c r="CP20" i="5"/>
  <c r="CQ20" i="5"/>
  <c r="CR20" i="5"/>
  <c r="CS20" i="5"/>
  <c r="CT20" i="5"/>
  <c r="CU20" i="5"/>
  <c r="CV20" i="5"/>
  <c r="CW20" i="5"/>
  <c r="CX20" i="5"/>
  <c r="CY20" i="5"/>
  <c r="CZ20" i="5"/>
  <c r="DA20" i="5"/>
  <c r="DB20" i="5"/>
  <c r="DC20" i="5"/>
  <c r="DD20" i="5"/>
  <c r="DE20" i="5"/>
  <c r="DF20" i="5"/>
  <c r="DG20" i="5"/>
  <c r="DH20" i="5"/>
  <c r="DI20" i="5"/>
  <c r="DJ20" i="5"/>
  <c r="DK20" i="5"/>
  <c r="DL20" i="5"/>
  <c r="DM20" i="5"/>
  <c r="DN20" i="5"/>
  <c r="DO20" i="5"/>
  <c r="DP20" i="5"/>
  <c r="DQ20" i="5"/>
  <c r="DR20" i="5"/>
  <c r="DS20" i="5"/>
  <c r="DT20" i="5"/>
  <c r="DU20" i="5"/>
  <c r="DV20" i="5"/>
  <c r="DW20" i="5"/>
  <c r="DX20" i="5"/>
  <c r="DY20" i="5"/>
  <c r="DZ20" i="5"/>
  <c r="EA20" i="5"/>
  <c r="EB20" i="5"/>
  <c r="EC20" i="5"/>
  <c r="ED20" i="5"/>
  <c r="EE20" i="5"/>
  <c r="EF20" i="5"/>
  <c r="EG20" i="5"/>
  <c r="EH20" i="5"/>
  <c r="EI20" i="5"/>
  <c r="EJ20" i="5"/>
  <c r="EK20" i="5"/>
  <c r="EL20" i="5"/>
  <c r="EM20" i="5"/>
  <c r="EN20" i="5"/>
  <c r="EO20" i="5"/>
  <c r="EP20" i="5"/>
  <c r="EQ20" i="5"/>
  <c r="ER20" i="5"/>
  <c r="ES20" i="5"/>
  <c r="ET20" i="5"/>
  <c r="EU20" i="5"/>
  <c r="EV20" i="5"/>
  <c r="EW20" i="5"/>
  <c r="EX20" i="5"/>
  <c r="EY20" i="5"/>
  <c r="EZ20" i="5"/>
  <c r="FA20" i="5"/>
  <c r="FB20" i="5"/>
  <c r="FC20" i="5"/>
  <c r="FD20" i="5"/>
  <c r="FE20" i="5"/>
  <c r="FF20" i="5"/>
  <c r="FG20" i="5"/>
  <c r="FH20" i="5"/>
  <c r="FI20" i="5"/>
  <c r="FJ20" i="5"/>
  <c r="FK20" i="5"/>
  <c r="FL20" i="5"/>
  <c r="FM20" i="5"/>
  <c r="FN20" i="5"/>
  <c r="FO20" i="5"/>
  <c r="FP20" i="5"/>
  <c r="FQ20" i="5"/>
  <c r="FR20" i="5"/>
  <c r="FS20" i="5"/>
  <c r="FT20" i="5"/>
  <c r="FU20" i="5"/>
  <c r="FV20" i="5"/>
  <c r="FW20" i="5"/>
  <c r="FX20" i="5"/>
  <c r="FY20" i="5"/>
  <c r="FZ20" i="5"/>
  <c r="GA20" i="5"/>
  <c r="GB20" i="5"/>
  <c r="GC20" i="5"/>
  <c r="GD20" i="5"/>
  <c r="GE20" i="5"/>
  <c r="GF20" i="5"/>
  <c r="GG20" i="5"/>
  <c r="GH20" i="5"/>
  <c r="GI20" i="5"/>
  <c r="GJ20" i="5"/>
  <c r="GK20" i="5"/>
  <c r="GL20" i="5"/>
  <c r="GM20" i="5"/>
  <c r="GN20" i="5"/>
  <c r="GO20" i="5"/>
  <c r="GP20" i="5"/>
  <c r="GQ20" i="5"/>
  <c r="GR20" i="5"/>
  <c r="GS20" i="5"/>
  <c r="GT20" i="5"/>
  <c r="GU20" i="5"/>
  <c r="GV20" i="5"/>
  <c r="GW20" i="5"/>
  <c r="GX20" i="5"/>
  <c r="GY20" i="5"/>
  <c r="GZ20" i="5"/>
  <c r="HA20" i="5"/>
  <c r="HB20" i="5"/>
  <c r="HC20" i="5"/>
  <c r="HD20" i="5"/>
  <c r="HE20" i="5"/>
  <c r="HF20" i="5"/>
  <c r="HG20" i="5"/>
  <c r="HH20" i="5"/>
  <c r="HI20" i="5"/>
  <c r="HJ20" i="5"/>
  <c r="HK20" i="5"/>
  <c r="HL20" i="5"/>
  <c r="HM20" i="5"/>
  <c r="HN20" i="5"/>
  <c r="HO20" i="5"/>
  <c r="HP20" i="5"/>
  <c r="HQ20" i="5"/>
  <c r="HR20" i="5"/>
  <c r="HS20" i="5"/>
  <c r="HT20" i="5"/>
  <c r="HU20" i="5"/>
  <c r="HV20" i="5"/>
  <c r="HW20" i="5"/>
  <c r="HX20" i="5"/>
  <c r="HY20" i="5"/>
  <c r="HZ20" i="5"/>
  <c r="IA20" i="5"/>
  <c r="IB20" i="5"/>
  <c r="IC20" i="5"/>
  <c r="ID20" i="5"/>
  <c r="IE20" i="5"/>
  <c r="IF20" i="5"/>
  <c r="IG20" i="5"/>
  <c r="IH20" i="5"/>
  <c r="II20" i="5"/>
  <c r="IJ20" i="5"/>
  <c r="IK20" i="5"/>
  <c r="IL20" i="5"/>
  <c r="IM20" i="5"/>
  <c r="IN20" i="5"/>
  <c r="IO20" i="5"/>
  <c r="IP20" i="5"/>
  <c r="IQ20" i="5"/>
  <c r="IR20" i="5"/>
  <c r="IS20" i="5"/>
  <c r="IT20" i="5"/>
  <c r="IU20" i="5"/>
  <c r="IV20" i="5"/>
  <c r="A19" i="5"/>
  <c r="B19" i="5"/>
  <c r="C19" i="5"/>
  <c r="D19" i="5"/>
  <c r="E19" i="5"/>
  <c r="F19" i="5"/>
  <c r="G19" i="5"/>
  <c r="H19" i="5"/>
  <c r="I19" i="5"/>
  <c r="J19" i="5"/>
  <c r="K19" i="5"/>
  <c r="L19" i="5"/>
  <c r="M19" i="5"/>
  <c r="N19" i="5"/>
  <c r="O19" i="5"/>
  <c r="P19" i="5"/>
  <c r="Q19" i="5"/>
  <c r="R19" i="5"/>
  <c r="S19" i="5"/>
  <c r="T19" i="5"/>
  <c r="U19" i="5"/>
  <c r="V19" i="5"/>
  <c r="W19" i="5"/>
  <c r="X19" i="5"/>
  <c r="Y19" i="5"/>
  <c r="Z19" i="5"/>
  <c r="AA19" i="5"/>
  <c r="AB19" i="5"/>
  <c r="AC19" i="5"/>
  <c r="AD19" i="5"/>
  <c r="AE19" i="5"/>
  <c r="AF19" i="5"/>
  <c r="AG19" i="5"/>
  <c r="AH19" i="5"/>
  <c r="AI19" i="5"/>
  <c r="AJ19" i="5"/>
  <c r="AK19" i="5"/>
  <c r="AL19" i="5"/>
  <c r="AM19" i="5"/>
  <c r="AN19" i="5"/>
  <c r="AO19" i="5"/>
  <c r="AP19" i="5"/>
  <c r="AQ19" i="5"/>
  <c r="AR19" i="5"/>
  <c r="AS19" i="5"/>
  <c r="AT19" i="5"/>
  <c r="AU19" i="5"/>
  <c r="AV19" i="5"/>
  <c r="AW19" i="5"/>
  <c r="AX19" i="5"/>
  <c r="AY19" i="5"/>
  <c r="AZ19" i="5"/>
  <c r="BA19" i="5"/>
  <c r="BB19" i="5"/>
  <c r="BC19" i="5"/>
  <c r="BD19" i="5"/>
  <c r="BE19" i="5"/>
  <c r="BF19" i="5"/>
  <c r="BG19" i="5"/>
  <c r="BH19" i="5"/>
  <c r="BI19" i="5"/>
  <c r="BJ19" i="5"/>
  <c r="BK19" i="5"/>
  <c r="BL19" i="5"/>
  <c r="BM19" i="5"/>
  <c r="BN19" i="5"/>
  <c r="BO19" i="5"/>
  <c r="BP19" i="5"/>
  <c r="BQ19" i="5"/>
  <c r="BR19" i="5"/>
  <c r="BS19" i="5"/>
  <c r="BT19" i="5"/>
  <c r="BU19" i="5"/>
  <c r="BV19" i="5"/>
  <c r="BW19" i="5"/>
  <c r="BX19" i="5"/>
  <c r="BY19" i="5"/>
  <c r="BZ19" i="5"/>
  <c r="CA19" i="5"/>
  <c r="CB19" i="5"/>
  <c r="CC19" i="5"/>
  <c r="CD19" i="5"/>
  <c r="CE19" i="5"/>
  <c r="CF19" i="5"/>
  <c r="CG19" i="5"/>
  <c r="CH19" i="5"/>
  <c r="CI19" i="5"/>
  <c r="CJ19" i="5"/>
  <c r="CK19" i="5"/>
  <c r="CL19" i="5"/>
  <c r="CM19" i="5"/>
  <c r="CN19" i="5"/>
  <c r="CO19" i="5"/>
  <c r="CP19" i="5"/>
  <c r="CQ19" i="5"/>
  <c r="CR19" i="5"/>
  <c r="CS19" i="5"/>
  <c r="CT19" i="5"/>
  <c r="CU19" i="5"/>
  <c r="CV19" i="5"/>
  <c r="CW19" i="5"/>
  <c r="CX19" i="5"/>
  <c r="CY19" i="5"/>
  <c r="CZ19" i="5"/>
  <c r="DA19" i="5"/>
  <c r="DB19" i="5"/>
  <c r="DC19" i="5"/>
  <c r="DD19" i="5"/>
  <c r="DE19" i="5"/>
  <c r="DF19" i="5"/>
  <c r="DG19" i="5"/>
  <c r="DH19" i="5"/>
  <c r="DI19" i="5"/>
  <c r="DJ19" i="5"/>
  <c r="DK19" i="5"/>
  <c r="DL19" i="5"/>
  <c r="DM19" i="5"/>
  <c r="DN19" i="5"/>
  <c r="DO19" i="5"/>
  <c r="DP19" i="5"/>
  <c r="DQ19" i="5"/>
  <c r="DR19" i="5"/>
  <c r="DS19" i="5"/>
  <c r="DT19" i="5"/>
  <c r="DU19" i="5"/>
  <c r="DV19" i="5"/>
  <c r="DW19" i="5"/>
  <c r="DX19" i="5"/>
  <c r="DY19" i="5"/>
  <c r="DZ19" i="5"/>
  <c r="EA19" i="5"/>
  <c r="EB19" i="5"/>
  <c r="EC19" i="5"/>
  <c r="ED19" i="5"/>
  <c r="EE19" i="5"/>
  <c r="EF19" i="5"/>
  <c r="EG19" i="5"/>
  <c r="EH19" i="5"/>
  <c r="EI19" i="5"/>
  <c r="EJ19" i="5"/>
  <c r="EK19" i="5"/>
  <c r="EL19" i="5"/>
  <c r="EM19" i="5"/>
  <c r="EN19" i="5"/>
  <c r="EO19" i="5"/>
  <c r="EP19" i="5"/>
  <c r="EQ19" i="5"/>
  <c r="ER19" i="5"/>
  <c r="ES19" i="5"/>
  <c r="ET19" i="5"/>
  <c r="EU19" i="5"/>
  <c r="EV19" i="5"/>
  <c r="EW19" i="5"/>
  <c r="EX19" i="5"/>
  <c r="EY19" i="5"/>
  <c r="EZ19" i="5"/>
  <c r="FA19" i="5"/>
  <c r="FB19" i="5"/>
  <c r="FC19" i="5"/>
  <c r="FD19" i="5"/>
  <c r="FE19" i="5"/>
  <c r="FF19" i="5"/>
  <c r="FG19" i="5"/>
  <c r="FH19" i="5"/>
  <c r="FI19" i="5"/>
  <c r="FJ19" i="5"/>
  <c r="FK19" i="5"/>
  <c r="FL19" i="5"/>
  <c r="FM19" i="5"/>
  <c r="FN19" i="5"/>
  <c r="FO19" i="5"/>
  <c r="FP19" i="5"/>
  <c r="FQ19" i="5"/>
  <c r="FR19" i="5"/>
  <c r="FS19" i="5"/>
  <c r="FT19" i="5"/>
  <c r="FU19" i="5"/>
  <c r="FV19" i="5"/>
  <c r="FW19" i="5"/>
  <c r="FX19" i="5"/>
  <c r="FY19" i="5"/>
  <c r="FZ19" i="5"/>
  <c r="GA19" i="5"/>
  <c r="GB19" i="5"/>
  <c r="GC19" i="5"/>
  <c r="GD19" i="5"/>
  <c r="GE19" i="5"/>
  <c r="GF19" i="5"/>
  <c r="GG19" i="5"/>
  <c r="GH19" i="5"/>
  <c r="GI19" i="5"/>
  <c r="GJ19" i="5"/>
  <c r="GK19" i="5"/>
  <c r="GL19" i="5"/>
  <c r="GM19" i="5"/>
  <c r="GN19" i="5"/>
  <c r="GO19" i="5"/>
  <c r="GP19" i="5"/>
  <c r="GQ19" i="5"/>
  <c r="GR19" i="5"/>
  <c r="GS19" i="5"/>
  <c r="GT19" i="5"/>
  <c r="GU19" i="5"/>
  <c r="GV19" i="5"/>
  <c r="GW19" i="5"/>
  <c r="GX19" i="5"/>
  <c r="GY19" i="5"/>
  <c r="GZ19" i="5"/>
  <c r="HA19" i="5"/>
  <c r="HB19" i="5"/>
  <c r="HC19" i="5"/>
  <c r="HD19" i="5"/>
  <c r="HE19" i="5"/>
  <c r="HF19" i="5"/>
  <c r="HG19" i="5"/>
  <c r="HH19" i="5"/>
  <c r="HI19" i="5"/>
  <c r="HJ19" i="5"/>
  <c r="HK19" i="5"/>
  <c r="HL19" i="5"/>
  <c r="HM19" i="5"/>
  <c r="HN19" i="5"/>
  <c r="HO19" i="5"/>
  <c r="HP19" i="5"/>
  <c r="HQ19" i="5"/>
  <c r="HR19" i="5"/>
  <c r="HS19" i="5"/>
  <c r="HT19" i="5"/>
  <c r="HU19" i="5"/>
  <c r="HV19" i="5"/>
  <c r="HW19" i="5"/>
  <c r="HX19" i="5"/>
  <c r="HY19" i="5"/>
  <c r="HZ19" i="5"/>
  <c r="IA19" i="5"/>
  <c r="IB19" i="5"/>
  <c r="IC19" i="5"/>
  <c r="ID19" i="5"/>
  <c r="IE19" i="5"/>
  <c r="IF19" i="5"/>
  <c r="IG19" i="5"/>
  <c r="IH19" i="5"/>
  <c r="II19" i="5"/>
  <c r="IJ19" i="5"/>
  <c r="IK19" i="5"/>
  <c r="IL19" i="5"/>
  <c r="IM19" i="5"/>
  <c r="IN19" i="5"/>
  <c r="IO19" i="5"/>
  <c r="IP19" i="5"/>
  <c r="IQ19" i="5"/>
  <c r="IR19" i="5"/>
  <c r="IS19" i="5"/>
  <c r="IT19" i="5"/>
  <c r="IU19" i="5"/>
  <c r="IV19" i="5"/>
  <c r="A18" i="5"/>
  <c r="B18" i="5"/>
  <c r="C18" i="5"/>
  <c r="D18" i="5"/>
  <c r="E18" i="5"/>
  <c r="F18" i="5"/>
  <c r="G18" i="5"/>
  <c r="H18" i="5"/>
  <c r="I18" i="5"/>
  <c r="J18" i="5"/>
  <c r="K18" i="5"/>
  <c r="L18" i="5"/>
  <c r="M18" i="5"/>
  <c r="N18" i="5"/>
  <c r="O18" i="5"/>
  <c r="P18" i="5"/>
  <c r="Q18" i="5"/>
  <c r="R18" i="5"/>
  <c r="S18" i="5"/>
  <c r="T18" i="5"/>
  <c r="U18" i="5"/>
  <c r="V18" i="5"/>
  <c r="W18" i="5"/>
  <c r="X18" i="5"/>
  <c r="Y18" i="5"/>
  <c r="Z18" i="5"/>
  <c r="AA18" i="5"/>
  <c r="AB18" i="5"/>
  <c r="AC18" i="5"/>
  <c r="AD18" i="5"/>
  <c r="AE18" i="5"/>
  <c r="AF18" i="5"/>
  <c r="AG18" i="5"/>
  <c r="AH18" i="5"/>
  <c r="AI18" i="5"/>
  <c r="AJ18" i="5"/>
  <c r="AK18" i="5"/>
  <c r="AL18" i="5"/>
  <c r="AM18" i="5"/>
  <c r="AN18" i="5"/>
  <c r="AO18" i="5"/>
  <c r="AP18" i="5"/>
  <c r="AQ18" i="5"/>
  <c r="AR18" i="5"/>
  <c r="AS18" i="5"/>
  <c r="AT18" i="5"/>
  <c r="AU18" i="5"/>
  <c r="AV18" i="5"/>
  <c r="AW18" i="5"/>
  <c r="AX18" i="5"/>
  <c r="AY18" i="5"/>
  <c r="AZ18" i="5"/>
  <c r="BA18" i="5"/>
  <c r="BB18" i="5"/>
  <c r="BC18" i="5"/>
  <c r="BD18" i="5"/>
  <c r="BE18" i="5"/>
  <c r="BF18" i="5"/>
  <c r="BG18" i="5"/>
  <c r="BH18" i="5"/>
  <c r="BI18" i="5"/>
  <c r="BJ18" i="5"/>
  <c r="BK18" i="5"/>
  <c r="BL18" i="5"/>
  <c r="BN18" i="5"/>
  <c r="BO18" i="5"/>
  <c r="BP18" i="5"/>
  <c r="BQ18" i="5"/>
  <c r="BR18" i="5"/>
  <c r="BS18" i="5"/>
  <c r="BT18" i="5"/>
  <c r="BU18" i="5"/>
  <c r="BV18" i="5"/>
  <c r="BW18" i="5"/>
  <c r="BX18" i="5"/>
  <c r="BY18" i="5"/>
  <c r="BZ18" i="5"/>
  <c r="CA18" i="5"/>
  <c r="CB18" i="5"/>
  <c r="CC18" i="5"/>
  <c r="CD18" i="5"/>
  <c r="CE18" i="5"/>
  <c r="CF18" i="5"/>
  <c r="CG18" i="5"/>
  <c r="CH18" i="5"/>
  <c r="CI18" i="5"/>
  <c r="CJ18" i="5"/>
  <c r="CK18" i="5"/>
  <c r="CL18" i="5"/>
  <c r="CM18" i="5"/>
  <c r="CN18" i="5"/>
  <c r="CO18" i="5"/>
  <c r="CP18" i="5"/>
  <c r="CQ18" i="5"/>
  <c r="CR18" i="5"/>
  <c r="CS18" i="5"/>
  <c r="CT18" i="5"/>
  <c r="CU18" i="5"/>
  <c r="CV18" i="5"/>
  <c r="CW18" i="5"/>
  <c r="CX18" i="5"/>
  <c r="CY18" i="5"/>
  <c r="CZ18" i="5"/>
  <c r="DA18" i="5"/>
  <c r="DB18" i="5"/>
  <c r="DC18" i="5"/>
  <c r="DD18" i="5"/>
  <c r="DE18" i="5"/>
  <c r="DF18" i="5"/>
  <c r="DG18" i="5"/>
  <c r="DH18" i="5"/>
  <c r="DI18" i="5"/>
  <c r="DJ18" i="5"/>
  <c r="DK18" i="5"/>
  <c r="DL18" i="5"/>
  <c r="DM18" i="5"/>
  <c r="DN18" i="5"/>
  <c r="DO18" i="5"/>
  <c r="DP18" i="5"/>
  <c r="DQ18" i="5"/>
  <c r="DR18" i="5"/>
  <c r="DS18" i="5"/>
  <c r="DT18" i="5"/>
  <c r="DU18" i="5"/>
  <c r="DV18" i="5"/>
  <c r="DW18" i="5"/>
  <c r="DX18" i="5"/>
  <c r="DY18" i="5"/>
  <c r="DZ18" i="5"/>
  <c r="EA18" i="5"/>
  <c r="EB18" i="5"/>
  <c r="EC18" i="5"/>
  <c r="ED18" i="5"/>
  <c r="EE18" i="5"/>
  <c r="EF18" i="5"/>
  <c r="EG18" i="5"/>
  <c r="EH18" i="5"/>
  <c r="EI18" i="5"/>
  <c r="EJ18" i="5"/>
  <c r="EK18" i="5"/>
  <c r="EL18" i="5"/>
  <c r="EM18" i="5"/>
  <c r="EN18" i="5"/>
  <c r="EO18" i="5"/>
  <c r="EP18" i="5"/>
  <c r="EQ18" i="5"/>
  <c r="ER18" i="5"/>
  <c r="ES18" i="5"/>
  <c r="ET18" i="5"/>
  <c r="EU18" i="5"/>
  <c r="EV18" i="5"/>
  <c r="EW18" i="5"/>
  <c r="EX18" i="5"/>
  <c r="EY18" i="5"/>
  <c r="EZ18" i="5"/>
  <c r="FA18" i="5"/>
  <c r="FB18" i="5"/>
  <c r="FC18" i="5"/>
  <c r="FD18" i="5"/>
  <c r="FE18" i="5"/>
  <c r="FF18" i="5"/>
  <c r="FG18" i="5"/>
  <c r="FH18" i="5"/>
  <c r="FI18" i="5"/>
  <c r="FJ18" i="5"/>
  <c r="FK18" i="5"/>
  <c r="FL18" i="5"/>
  <c r="FM18" i="5"/>
  <c r="FN18" i="5"/>
  <c r="FO18" i="5"/>
  <c r="FP18" i="5"/>
  <c r="FQ18" i="5"/>
  <c r="FR18" i="5"/>
  <c r="FS18" i="5"/>
  <c r="FT18" i="5"/>
  <c r="FU18" i="5"/>
  <c r="FV18" i="5"/>
  <c r="FW18" i="5"/>
  <c r="FX18" i="5"/>
  <c r="FY18" i="5"/>
  <c r="FZ18" i="5"/>
  <c r="GA18" i="5"/>
  <c r="GB18" i="5"/>
  <c r="GC18" i="5"/>
  <c r="GD18" i="5"/>
  <c r="GE18" i="5"/>
  <c r="GF18" i="5"/>
  <c r="GG18" i="5"/>
  <c r="GH18" i="5"/>
  <c r="GI18" i="5"/>
  <c r="GJ18" i="5"/>
  <c r="GK18" i="5"/>
  <c r="GL18" i="5"/>
  <c r="GM18" i="5"/>
  <c r="GN18" i="5"/>
  <c r="GO18" i="5"/>
  <c r="GP18" i="5"/>
  <c r="GQ18" i="5"/>
  <c r="GR18" i="5"/>
  <c r="GS18" i="5"/>
  <c r="GT18" i="5"/>
  <c r="GU18" i="5"/>
  <c r="GV18" i="5"/>
  <c r="GW18" i="5"/>
  <c r="GX18" i="5"/>
  <c r="GY18" i="5"/>
  <c r="GZ18" i="5"/>
  <c r="HA18" i="5"/>
  <c r="HB18" i="5"/>
  <c r="HC18" i="5"/>
  <c r="HD18" i="5"/>
  <c r="HE18" i="5"/>
  <c r="HF18" i="5"/>
  <c r="HG18" i="5"/>
  <c r="HH18" i="5"/>
  <c r="HI18" i="5"/>
  <c r="HJ18" i="5"/>
  <c r="HK18" i="5"/>
  <c r="HL18" i="5"/>
  <c r="HM18" i="5"/>
  <c r="HN18" i="5"/>
  <c r="HO18" i="5"/>
  <c r="HP18" i="5"/>
  <c r="HQ18" i="5"/>
  <c r="HR18" i="5"/>
  <c r="HS18" i="5"/>
  <c r="HT18" i="5"/>
  <c r="HU18" i="5"/>
  <c r="HV18" i="5"/>
  <c r="HW18" i="5"/>
  <c r="HX18" i="5"/>
  <c r="HY18" i="5"/>
  <c r="HZ18" i="5"/>
  <c r="IA18" i="5"/>
  <c r="IB18" i="5"/>
  <c r="IC18" i="5"/>
  <c r="ID18" i="5"/>
  <c r="IE18" i="5"/>
  <c r="IF18" i="5"/>
  <c r="IG18" i="5"/>
  <c r="IH18" i="5"/>
  <c r="II18" i="5"/>
  <c r="IJ18" i="5"/>
  <c r="IK18" i="5"/>
  <c r="IL18" i="5"/>
  <c r="IM18" i="5"/>
  <c r="IN18" i="5"/>
  <c r="IO18" i="5"/>
  <c r="IP18" i="5"/>
  <c r="IQ18" i="5"/>
  <c r="IR18" i="5"/>
  <c r="IS18" i="5"/>
  <c r="IT18" i="5"/>
  <c r="IU18" i="5"/>
  <c r="IV18" i="5"/>
  <c r="A17" i="5"/>
  <c r="B17" i="5"/>
  <c r="C17" i="5"/>
  <c r="D17" i="5"/>
  <c r="E17" i="5"/>
  <c r="F17" i="5"/>
  <c r="G17" i="5"/>
  <c r="H17" i="5"/>
  <c r="I17" i="5"/>
  <c r="J17" i="5"/>
  <c r="K17" i="5"/>
  <c r="L17" i="5"/>
  <c r="M17" i="5"/>
  <c r="N17" i="5"/>
  <c r="O17" i="5"/>
  <c r="P17" i="5"/>
  <c r="Q17" i="5"/>
  <c r="R17" i="5"/>
  <c r="S17" i="5"/>
  <c r="T17" i="5"/>
  <c r="U17" i="5"/>
  <c r="V17" i="5"/>
  <c r="W17" i="5"/>
  <c r="X17" i="5"/>
  <c r="Y17" i="5"/>
  <c r="Z17" i="5"/>
  <c r="AA17" i="5"/>
  <c r="AB17" i="5"/>
  <c r="AC17" i="5"/>
  <c r="AD17" i="5"/>
  <c r="AE17" i="5"/>
  <c r="AF17" i="5"/>
  <c r="AG17" i="5"/>
  <c r="AH17" i="5"/>
  <c r="AI17" i="5"/>
  <c r="AJ17" i="5"/>
  <c r="AK17" i="5"/>
  <c r="AL17" i="5"/>
  <c r="AM17" i="5"/>
  <c r="AN17" i="5"/>
  <c r="AO17" i="5"/>
  <c r="AP17" i="5"/>
  <c r="AQ17" i="5"/>
  <c r="AR17" i="5"/>
  <c r="AT17" i="5"/>
  <c r="AU17" i="5"/>
  <c r="AV17" i="5"/>
  <c r="AW17" i="5"/>
  <c r="AX17" i="5"/>
  <c r="AY17" i="5"/>
  <c r="AZ17" i="5"/>
  <c r="BA17" i="5"/>
  <c r="BB17" i="5"/>
  <c r="BC17" i="5"/>
  <c r="BD17" i="5"/>
  <c r="BE17" i="5"/>
  <c r="BF17" i="5"/>
  <c r="BG17" i="5"/>
  <c r="BH17" i="5"/>
  <c r="BI17" i="5"/>
  <c r="BJ17" i="5"/>
  <c r="BK17" i="5"/>
  <c r="BL17" i="5"/>
  <c r="BM17" i="5"/>
  <c r="BN17" i="5"/>
  <c r="BO17" i="5"/>
  <c r="BP17" i="5"/>
  <c r="BQ17" i="5"/>
  <c r="BR17" i="5"/>
  <c r="BS17" i="5"/>
  <c r="BT17" i="5"/>
  <c r="BU17" i="5"/>
  <c r="BV17" i="5"/>
  <c r="BW17" i="5"/>
  <c r="BX17" i="5"/>
  <c r="BY17" i="5"/>
  <c r="BZ17" i="5"/>
  <c r="CA17" i="5"/>
  <c r="CB17" i="5"/>
  <c r="CC17" i="5"/>
  <c r="CD17" i="5"/>
  <c r="CE17" i="5"/>
  <c r="CF17" i="5"/>
  <c r="CG17" i="5"/>
  <c r="CH17" i="5"/>
  <c r="CI17" i="5"/>
  <c r="CJ17" i="5"/>
  <c r="CK17" i="5"/>
  <c r="CL17" i="5"/>
  <c r="CM17" i="5"/>
  <c r="CN17" i="5"/>
  <c r="CO17" i="5"/>
  <c r="CP17" i="5"/>
  <c r="CQ17" i="5"/>
  <c r="CR17" i="5"/>
  <c r="CS17" i="5"/>
  <c r="CT17" i="5"/>
  <c r="CU17" i="5"/>
  <c r="CV17" i="5"/>
  <c r="CW17" i="5"/>
  <c r="CX17" i="5"/>
  <c r="CY17" i="5"/>
  <c r="CZ17" i="5"/>
  <c r="DA17" i="5"/>
  <c r="DB17" i="5"/>
  <c r="DC17" i="5"/>
  <c r="DD17" i="5"/>
  <c r="DE17" i="5"/>
  <c r="DF17" i="5"/>
  <c r="DG17" i="5"/>
  <c r="DH17" i="5"/>
  <c r="DI17" i="5"/>
  <c r="DJ17" i="5"/>
  <c r="DK17" i="5"/>
  <c r="DL17" i="5"/>
  <c r="DM17" i="5"/>
  <c r="DN17" i="5"/>
  <c r="DO17" i="5"/>
  <c r="DP17" i="5"/>
  <c r="DQ17" i="5"/>
  <c r="DR17" i="5"/>
  <c r="DS17" i="5"/>
  <c r="DT17" i="5"/>
  <c r="DU17" i="5"/>
  <c r="DV17" i="5"/>
  <c r="DW17" i="5"/>
  <c r="DX17" i="5"/>
  <c r="DY17" i="5"/>
  <c r="DZ17" i="5"/>
  <c r="EA17" i="5"/>
  <c r="EB17" i="5"/>
  <c r="EC17" i="5"/>
  <c r="ED17" i="5"/>
  <c r="EE17" i="5"/>
  <c r="EF17" i="5"/>
  <c r="EG17" i="5"/>
  <c r="EH17" i="5"/>
  <c r="EI17" i="5"/>
  <c r="EJ17" i="5"/>
  <c r="EK17" i="5"/>
  <c r="EL17" i="5"/>
  <c r="EM17" i="5"/>
  <c r="EN17" i="5"/>
  <c r="EO17" i="5"/>
  <c r="EP17" i="5"/>
  <c r="EQ17" i="5"/>
  <c r="ER17" i="5"/>
  <c r="ES17" i="5"/>
  <c r="ET17" i="5"/>
  <c r="EU17" i="5"/>
  <c r="EV17" i="5"/>
  <c r="EW17" i="5"/>
  <c r="EX17" i="5"/>
  <c r="EY17" i="5"/>
  <c r="EZ17" i="5"/>
  <c r="FA17" i="5"/>
  <c r="FB17" i="5"/>
  <c r="FC17" i="5"/>
  <c r="FD17" i="5"/>
  <c r="FE17" i="5"/>
  <c r="FF17" i="5"/>
  <c r="FG17" i="5"/>
  <c r="FH17" i="5"/>
  <c r="FI17" i="5"/>
  <c r="FJ17" i="5"/>
  <c r="FK17" i="5"/>
  <c r="FL17" i="5"/>
  <c r="FM17" i="5"/>
  <c r="FN17" i="5"/>
  <c r="FO17" i="5"/>
  <c r="FP17" i="5"/>
  <c r="FQ17" i="5"/>
  <c r="FR17" i="5"/>
  <c r="FS17" i="5"/>
  <c r="FT17" i="5"/>
  <c r="FU17" i="5"/>
  <c r="FV17" i="5"/>
  <c r="FW17" i="5"/>
  <c r="FX17" i="5"/>
  <c r="FY17" i="5"/>
  <c r="FZ17" i="5"/>
  <c r="GA17" i="5"/>
  <c r="GB17" i="5"/>
  <c r="GC17" i="5"/>
  <c r="GD17" i="5"/>
  <c r="GE17" i="5"/>
  <c r="GF17" i="5"/>
  <c r="GG17" i="5"/>
  <c r="GH17" i="5"/>
  <c r="GI17" i="5"/>
  <c r="GJ17" i="5"/>
  <c r="GK17" i="5"/>
  <c r="GL17" i="5"/>
  <c r="GM17" i="5"/>
  <c r="GN17" i="5"/>
  <c r="GO17" i="5"/>
  <c r="GP17" i="5"/>
  <c r="GQ17" i="5"/>
  <c r="GR17" i="5"/>
  <c r="GS17" i="5"/>
  <c r="GT17" i="5"/>
  <c r="GU17" i="5"/>
  <c r="GV17" i="5"/>
  <c r="GW17" i="5"/>
  <c r="GX17" i="5"/>
  <c r="GY17" i="5"/>
  <c r="GZ17" i="5"/>
  <c r="HA17" i="5"/>
  <c r="HB17" i="5"/>
  <c r="HC17" i="5"/>
  <c r="HD17" i="5"/>
  <c r="HE17" i="5"/>
  <c r="HF17" i="5"/>
  <c r="HG17" i="5"/>
  <c r="HH17" i="5"/>
  <c r="HI17" i="5"/>
  <c r="HJ17" i="5"/>
  <c r="HK17" i="5"/>
  <c r="HL17" i="5"/>
  <c r="HM17" i="5"/>
  <c r="HN17" i="5"/>
  <c r="HO17" i="5"/>
  <c r="HP17" i="5"/>
  <c r="HQ17" i="5"/>
  <c r="HR17" i="5"/>
  <c r="HS17" i="5"/>
  <c r="HT17" i="5"/>
  <c r="HU17" i="5"/>
  <c r="HV17" i="5"/>
  <c r="HW17" i="5"/>
  <c r="HX17" i="5"/>
  <c r="HY17" i="5"/>
  <c r="HZ17" i="5"/>
  <c r="IA17" i="5"/>
  <c r="IB17" i="5"/>
  <c r="IC17" i="5"/>
  <c r="ID17" i="5"/>
  <c r="IE17" i="5"/>
  <c r="IF17" i="5"/>
  <c r="IG17" i="5"/>
  <c r="IH17" i="5"/>
  <c r="II17" i="5"/>
  <c r="IJ17" i="5"/>
  <c r="IK17" i="5"/>
  <c r="IL17" i="5"/>
  <c r="IM17" i="5"/>
  <c r="IN17" i="5"/>
  <c r="IO17" i="5"/>
  <c r="IP17" i="5"/>
  <c r="IQ17" i="5"/>
  <c r="IR17" i="5"/>
  <c r="IS17" i="5"/>
  <c r="IT17" i="5"/>
  <c r="IU17" i="5"/>
  <c r="IV17" i="5"/>
  <c r="A16" i="5"/>
  <c r="B16" i="5"/>
  <c r="C16" i="5"/>
  <c r="D16" i="5"/>
  <c r="E16" i="5"/>
  <c r="F16" i="5"/>
  <c r="G16" i="5"/>
  <c r="H16" i="5"/>
  <c r="I16" i="5"/>
  <c r="J16" i="5"/>
  <c r="K16" i="5"/>
  <c r="L16" i="5"/>
  <c r="M16" i="5"/>
  <c r="N16" i="5"/>
  <c r="O16" i="5"/>
  <c r="P16" i="5"/>
  <c r="Q16" i="5"/>
  <c r="R16" i="5"/>
  <c r="S16" i="5"/>
  <c r="T16" i="5"/>
  <c r="U16" i="5"/>
  <c r="V16" i="5"/>
  <c r="W16" i="5"/>
  <c r="X16" i="5"/>
  <c r="Y16" i="5"/>
  <c r="Z16" i="5"/>
  <c r="AA16" i="5"/>
  <c r="AB16" i="5"/>
  <c r="AC16" i="5"/>
  <c r="AD16" i="5"/>
  <c r="AE16" i="5"/>
  <c r="AF16" i="5"/>
  <c r="AG16" i="5"/>
  <c r="AH16" i="5"/>
  <c r="AI16" i="5"/>
  <c r="AJ16" i="5"/>
  <c r="AK16" i="5"/>
  <c r="AL16" i="5"/>
  <c r="AM16" i="5"/>
  <c r="AN16" i="5"/>
  <c r="AO16" i="5"/>
  <c r="AP16" i="5"/>
  <c r="AQ16" i="5"/>
  <c r="AR16" i="5"/>
  <c r="AS16" i="5"/>
  <c r="AT16" i="5"/>
  <c r="AU16" i="5"/>
  <c r="AV16" i="5"/>
  <c r="AW16" i="5"/>
  <c r="AX16" i="5"/>
  <c r="AY16" i="5"/>
  <c r="AZ16" i="5"/>
  <c r="BA16" i="5"/>
  <c r="BB16" i="5"/>
  <c r="BC16" i="5"/>
  <c r="BD16" i="5"/>
  <c r="BE16" i="5"/>
  <c r="BF16" i="5"/>
  <c r="BG16" i="5"/>
  <c r="BH16" i="5"/>
  <c r="BI16" i="5"/>
  <c r="BJ16" i="5"/>
  <c r="BK16" i="5"/>
  <c r="BL16" i="5"/>
  <c r="BM16" i="5"/>
  <c r="BN16" i="5"/>
  <c r="BO16" i="5"/>
  <c r="BP16" i="5"/>
  <c r="BQ16" i="5"/>
  <c r="BR16" i="5"/>
  <c r="BS16" i="5"/>
  <c r="BT16" i="5"/>
  <c r="BU16" i="5"/>
  <c r="BV16" i="5"/>
  <c r="BW16" i="5"/>
  <c r="BX16" i="5"/>
  <c r="BY16" i="5"/>
  <c r="BZ16" i="5"/>
  <c r="CA16" i="5"/>
  <c r="CB16" i="5"/>
  <c r="CC16" i="5"/>
  <c r="CD16" i="5"/>
  <c r="CE16" i="5"/>
  <c r="CF16" i="5"/>
  <c r="CG16" i="5"/>
  <c r="CH16" i="5"/>
  <c r="CI16" i="5"/>
  <c r="CJ16" i="5"/>
  <c r="CK16" i="5"/>
  <c r="CL16" i="5"/>
  <c r="CM16" i="5"/>
  <c r="CN16" i="5"/>
  <c r="CO16" i="5"/>
  <c r="CP16" i="5"/>
  <c r="CQ16" i="5"/>
  <c r="CR16" i="5"/>
  <c r="CS16" i="5"/>
  <c r="CT16" i="5"/>
  <c r="CU16" i="5"/>
  <c r="CV16" i="5"/>
  <c r="CW16" i="5"/>
  <c r="CX16" i="5"/>
  <c r="CY16" i="5"/>
  <c r="CZ16" i="5"/>
  <c r="DA16" i="5"/>
  <c r="DB16" i="5"/>
  <c r="DC16" i="5"/>
  <c r="DD16" i="5"/>
  <c r="DE16" i="5"/>
  <c r="DF16" i="5"/>
  <c r="DG16" i="5"/>
  <c r="DH16" i="5"/>
  <c r="DI16" i="5"/>
  <c r="DJ16" i="5"/>
  <c r="DK16" i="5"/>
  <c r="DL16" i="5"/>
  <c r="DM16" i="5"/>
  <c r="DN16" i="5"/>
  <c r="DO16" i="5"/>
  <c r="DP16" i="5"/>
  <c r="DQ16" i="5"/>
  <c r="DR16" i="5"/>
  <c r="DS16" i="5"/>
  <c r="DT16" i="5"/>
  <c r="DU16" i="5"/>
  <c r="DV16" i="5"/>
  <c r="DW16" i="5"/>
  <c r="DX16" i="5"/>
  <c r="DY16" i="5"/>
  <c r="DZ16" i="5"/>
  <c r="EA16" i="5"/>
  <c r="EB16" i="5"/>
  <c r="EC16" i="5"/>
  <c r="ED16" i="5"/>
  <c r="EE16" i="5"/>
  <c r="EF16" i="5"/>
  <c r="EG16" i="5"/>
  <c r="EH16" i="5"/>
  <c r="EI16" i="5"/>
  <c r="EJ16" i="5"/>
  <c r="EK16" i="5"/>
  <c r="EL16" i="5"/>
  <c r="EM16" i="5"/>
  <c r="EN16" i="5"/>
  <c r="EO16" i="5"/>
  <c r="EP16" i="5"/>
  <c r="EQ16" i="5"/>
  <c r="ER16" i="5"/>
  <c r="ES16" i="5"/>
  <c r="ET16" i="5"/>
  <c r="EU16" i="5"/>
  <c r="EV16" i="5"/>
  <c r="EW16" i="5"/>
  <c r="EX16" i="5"/>
  <c r="EY16" i="5"/>
  <c r="EZ16" i="5"/>
  <c r="FA16" i="5"/>
  <c r="FB16" i="5"/>
  <c r="FC16" i="5"/>
  <c r="FD16" i="5"/>
  <c r="FE16" i="5"/>
  <c r="FF16" i="5"/>
  <c r="FG16" i="5"/>
  <c r="FH16" i="5"/>
  <c r="FI16" i="5"/>
  <c r="FJ16" i="5"/>
  <c r="FK16" i="5"/>
  <c r="FL16" i="5"/>
  <c r="FM16" i="5"/>
  <c r="FN16" i="5"/>
  <c r="FO16" i="5"/>
  <c r="FP16" i="5"/>
  <c r="FQ16" i="5"/>
  <c r="FR16" i="5"/>
  <c r="FS16" i="5"/>
  <c r="FT16" i="5"/>
  <c r="FU16" i="5"/>
  <c r="FV16" i="5"/>
  <c r="FW16" i="5"/>
  <c r="FX16" i="5"/>
  <c r="FY16" i="5"/>
  <c r="FZ16" i="5"/>
  <c r="GA16" i="5"/>
  <c r="GB16" i="5"/>
  <c r="GC16" i="5"/>
  <c r="GD16" i="5"/>
  <c r="GE16" i="5"/>
  <c r="GF16" i="5"/>
  <c r="GG16" i="5"/>
  <c r="GH16" i="5"/>
  <c r="GI16" i="5"/>
  <c r="GJ16" i="5"/>
  <c r="GK16" i="5"/>
  <c r="GL16" i="5"/>
  <c r="GM16" i="5"/>
  <c r="GN16" i="5"/>
  <c r="GO16" i="5"/>
  <c r="GP16" i="5"/>
  <c r="GQ16" i="5"/>
  <c r="GR16" i="5"/>
  <c r="GS16" i="5"/>
  <c r="GT16" i="5"/>
  <c r="GU16" i="5"/>
  <c r="GV16" i="5"/>
  <c r="GW16" i="5"/>
  <c r="GX16" i="5"/>
  <c r="GY16" i="5"/>
  <c r="GZ16" i="5"/>
  <c r="HA16" i="5"/>
  <c r="HB16" i="5"/>
  <c r="HC16" i="5"/>
  <c r="HD16" i="5"/>
  <c r="HE16" i="5"/>
  <c r="HF16" i="5"/>
  <c r="HG16" i="5"/>
  <c r="HH16" i="5"/>
  <c r="HI16" i="5"/>
  <c r="HJ16" i="5"/>
  <c r="HK16" i="5"/>
  <c r="HL16" i="5"/>
  <c r="HM16" i="5"/>
  <c r="HN16" i="5"/>
  <c r="HO16" i="5"/>
  <c r="HP16" i="5"/>
  <c r="HQ16" i="5"/>
  <c r="HR16" i="5"/>
  <c r="HS16" i="5"/>
  <c r="HT16" i="5"/>
  <c r="HU16" i="5"/>
  <c r="HV16" i="5"/>
  <c r="HW16" i="5"/>
  <c r="HX16" i="5"/>
  <c r="HY16" i="5"/>
  <c r="HZ16" i="5"/>
  <c r="IA16" i="5"/>
  <c r="IB16" i="5"/>
  <c r="IC16" i="5"/>
  <c r="ID16" i="5"/>
  <c r="IE16" i="5"/>
  <c r="IF16" i="5"/>
  <c r="IG16" i="5"/>
  <c r="IH16" i="5"/>
  <c r="II16" i="5"/>
  <c r="IJ16" i="5"/>
  <c r="IK16" i="5"/>
  <c r="IL16" i="5"/>
  <c r="IM16" i="5"/>
  <c r="IN16" i="5"/>
  <c r="IO16" i="5"/>
  <c r="IP16" i="5"/>
  <c r="IQ16" i="5"/>
  <c r="IR16" i="5"/>
  <c r="IS16" i="5"/>
  <c r="IT16" i="5"/>
  <c r="IU16" i="5"/>
  <c r="IV16" i="5"/>
  <c r="A15" i="5"/>
  <c r="B15" i="5"/>
  <c r="C15" i="5"/>
  <c r="D15" i="5"/>
  <c r="E15" i="5"/>
  <c r="F15" i="5"/>
  <c r="G15" i="5"/>
  <c r="H15" i="5"/>
  <c r="I15" i="5"/>
  <c r="J15" i="5"/>
  <c r="K15" i="5"/>
  <c r="L15" i="5"/>
  <c r="M15" i="5"/>
  <c r="N15" i="5"/>
  <c r="O15" i="5"/>
  <c r="P15" i="5"/>
  <c r="Q15" i="5"/>
  <c r="R15" i="5"/>
  <c r="S15" i="5"/>
  <c r="T15" i="5"/>
  <c r="U15" i="5"/>
  <c r="V15" i="5"/>
  <c r="W15" i="5"/>
  <c r="X15" i="5"/>
  <c r="Y15" i="5"/>
  <c r="Z15" i="5"/>
  <c r="AA15" i="5"/>
  <c r="AB15" i="5"/>
  <c r="AC15" i="5"/>
  <c r="AD15" i="5"/>
  <c r="AE15" i="5"/>
  <c r="AF15" i="5"/>
  <c r="AG15" i="5"/>
  <c r="AH15" i="5"/>
  <c r="AI15" i="5"/>
  <c r="AJ15" i="5"/>
  <c r="AK15" i="5"/>
  <c r="AL15" i="5"/>
  <c r="AM15" i="5"/>
  <c r="AN15" i="5"/>
  <c r="AO15" i="5"/>
  <c r="AP15" i="5"/>
  <c r="AQ15" i="5"/>
  <c r="AR15" i="5"/>
  <c r="AS15" i="5"/>
  <c r="AT15" i="5"/>
  <c r="AU15" i="5"/>
  <c r="AV15" i="5"/>
  <c r="AW15" i="5"/>
  <c r="AX15" i="5"/>
  <c r="AY15" i="5"/>
  <c r="AZ15" i="5"/>
  <c r="BA15" i="5"/>
  <c r="BB15" i="5"/>
  <c r="BC15" i="5"/>
  <c r="BD15" i="5"/>
  <c r="BE15" i="5"/>
  <c r="BF15" i="5"/>
  <c r="BG15" i="5"/>
  <c r="BH15" i="5"/>
  <c r="BI15" i="5"/>
  <c r="BJ15" i="5"/>
  <c r="BK15" i="5"/>
  <c r="BL15" i="5"/>
  <c r="BM15" i="5"/>
  <c r="BN15" i="5"/>
  <c r="BO15" i="5"/>
  <c r="BP15" i="5"/>
  <c r="BQ15" i="5"/>
  <c r="BR15" i="5"/>
  <c r="BS15" i="5"/>
  <c r="BT15" i="5"/>
  <c r="BU15" i="5"/>
  <c r="BV15" i="5"/>
  <c r="BW15" i="5"/>
  <c r="BX15" i="5"/>
  <c r="BY15" i="5"/>
  <c r="BZ15" i="5"/>
  <c r="CA15" i="5"/>
  <c r="CB15" i="5"/>
  <c r="CC15" i="5"/>
  <c r="CD15" i="5"/>
  <c r="CE15" i="5"/>
  <c r="CF15" i="5"/>
  <c r="CG15" i="5"/>
  <c r="CH15" i="5"/>
  <c r="CI15" i="5"/>
  <c r="CJ15" i="5"/>
  <c r="CK15" i="5"/>
  <c r="CL15" i="5"/>
  <c r="CM15" i="5"/>
  <c r="CN15" i="5"/>
  <c r="CO15" i="5"/>
  <c r="CP15" i="5"/>
  <c r="CQ15" i="5"/>
  <c r="CR15" i="5"/>
  <c r="CS15" i="5"/>
  <c r="CT15" i="5"/>
  <c r="CU15" i="5"/>
  <c r="CV15" i="5"/>
  <c r="CW15" i="5"/>
  <c r="CX15" i="5"/>
  <c r="CY15" i="5"/>
  <c r="CZ15" i="5"/>
  <c r="DA15" i="5"/>
  <c r="DB15" i="5"/>
  <c r="DC15" i="5"/>
  <c r="DD15" i="5"/>
  <c r="DE15" i="5"/>
  <c r="DF15" i="5"/>
  <c r="DG15" i="5"/>
  <c r="DH15" i="5"/>
  <c r="DI15" i="5"/>
  <c r="DJ15" i="5"/>
  <c r="DK15" i="5"/>
  <c r="DL15" i="5"/>
  <c r="DM15" i="5"/>
  <c r="DN15" i="5"/>
  <c r="DO15" i="5"/>
  <c r="DP15" i="5"/>
  <c r="DQ15" i="5"/>
  <c r="DR15" i="5"/>
  <c r="DS15" i="5"/>
  <c r="DT15" i="5"/>
  <c r="DU15" i="5"/>
  <c r="DV15" i="5"/>
  <c r="DW15" i="5"/>
  <c r="DX15" i="5"/>
  <c r="DY15" i="5"/>
  <c r="DZ15" i="5"/>
  <c r="EA15" i="5"/>
  <c r="EB15" i="5"/>
  <c r="EC15" i="5"/>
  <c r="ED15" i="5"/>
  <c r="EE15" i="5"/>
  <c r="EF15" i="5"/>
  <c r="EG15" i="5"/>
  <c r="EH15" i="5"/>
  <c r="EI15" i="5"/>
  <c r="EJ15" i="5"/>
  <c r="EK15" i="5"/>
  <c r="EL15" i="5"/>
  <c r="EM15" i="5"/>
  <c r="EN15" i="5"/>
  <c r="EO15" i="5"/>
  <c r="EP15" i="5"/>
  <c r="EQ15" i="5"/>
  <c r="ER15" i="5"/>
  <c r="ES15" i="5"/>
  <c r="ET15" i="5"/>
  <c r="EU15" i="5"/>
  <c r="EV15" i="5"/>
  <c r="EW15" i="5"/>
  <c r="EX15" i="5"/>
  <c r="EY15" i="5"/>
  <c r="EZ15" i="5"/>
  <c r="FA15" i="5"/>
  <c r="FB15" i="5"/>
  <c r="FC15" i="5"/>
  <c r="FD15" i="5"/>
  <c r="FE15" i="5"/>
  <c r="FF15" i="5"/>
  <c r="FG15" i="5"/>
  <c r="FH15" i="5"/>
  <c r="FI15" i="5"/>
  <c r="FJ15" i="5"/>
  <c r="FK15" i="5"/>
  <c r="FL15" i="5"/>
  <c r="FM15" i="5"/>
  <c r="FN15" i="5"/>
  <c r="FO15" i="5"/>
  <c r="FP15" i="5"/>
  <c r="FQ15" i="5"/>
  <c r="FR15" i="5"/>
  <c r="FS15" i="5"/>
  <c r="FT15" i="5"/>
  <c r="FU15" i="5"/>
  <c r="FV15" i="5"/>
  <c r="FW15" i="5"/>
  <c r="FX15" i="5"/>
  <c r="FY15" i="5"/>
  <c r="FZ15" i="5"/>
  <c r="GA15" i="5"/>
  <c r="GB15" i="5"/>
  <c r="GC15" i="5"/>
  <c r="GD15" i="5"/>
  <c r="GE15" i="5"/>
  <c r="GF15" i="5"/>
  <c r="GG15" i="5"/>
  <c r="GH15" i="5"/>
  <c r="GI15" i="5"/>
  <c r="GJ15" i="5"/>
  <c r="GK15" i="5"/>
  <c r="GL15" i="5"/>
  <c r="GM15" i="5"/>
  <c r="GN15" i="5"/>
  <c r="GO15" i="5"/>
  <c r="GP15" i="5"/>
  <c r="GQ15" i="5"/>
  <c r="GR15" i="5"/>
  <c r="GS15" i="5"/>
  <c r="GT15" i="5"/>
  <c r="GU15" i="5"/>
  <c r="GV15" i="5"/>
  <c r="GW15" i="5"/>
  <c r="GX15" i="5"/>
  <c r="GY15" i="5"/>
  <c r="GZ15" i="5"/>
  <c r="HA15" i="5"/>
  <c r="HB15" i="5"/>
  <c r="HC15" i="5"/>
  <c r="HD15" i="5"/>
  <c r="HE15" i="5"/>
  <c r="HF15" i="5"/>
  <c r="HG15" i="5"/>
  <c r="HH15" i="5"/>
  <c r="HI15" i="5"/>
  <c r="HJ15" i="5"/>
  <c r="HK15" i="5"/>
  <c r="HL15" i="5"/>
  <c r="HM15" i="5"/>
  <c r="HN15" i="5"/>
  <c r="HO15" i="5"/>
  <c r="HP15" i="5"/>
  <c r="HQ15" i="5"/>
  <c r="HR15" i="5"/>
  <c r="HS15" i="5"/>
  <c r="HT15" i="5"/>
  <c r="HU15" i="5"/>
  <c r="HV15" i="5"/>
  <c r="HW15" i="5"/>
  <c r="HX15" i="5"/>
  <c r="HY15" i="5"/>
  <c r="HZ15" i="5"/>
  <c r="IA15" i="5"/>
  <c r="IB15" i="5"/>
  <c r="IC15" i="5"/>
  <c r="ID15" i="5"/>
  <c r="IE15" i="5"/>
  <c r="IF15" i="5"/>
  <c r="IG15" i="5"/>
  <c r="IH15" i="5"/>
  <c r="II15" i="5"/>
  <c r="IJ15" i="5"/>
  <c r="IK15" i="5"/>
  <c r="IL15" i="5"/>
  <c r="IM15" i="5"/>
  <c r="IN15" i="5"/>
  <c r="IO15" i="5"/>
  <c r="IP15" i="5"/>
  <c r="IQ15" i="5"/>
  <c r="IR15" i="5"/>
  <c r="IS15" i="5"/>
  <c r="IT15" i="5"/>
  <c r="IU15" i="5"/>
  <c r="IV15" i="5"/>
  <c r="A14" i="5"/>
  <c r="B14" i="5"/>
  <c r="C14" i="5"/>
  <c r="D14" i="5"/>
  <c r="E14" i="5"/>
  <c r="F14" i="5"/>
  <c r="G14" i="5"/>
  <c r="H14" i="5"/>
  <c r="I14" i="5"/>
  <c r="J14" i="5"/>
  <c r="K14" i="5"/>
  <c r="L14" i="5"/>
  <c r="M14" i="5"/>
  <c r="N14" i="5"/>
  <c r="O14" i="5"/>
  <c r="P14" i="5"/>
  <c r="Q14" i="5"/>
  <c r="R14" i="5"/>
  <c r="S14" i="5"/>
  <c r="T14" i="5"/>
  <c r="U14" i="5"/>
  <c r="V14" i="5"/>
  <c r="W14" i="5"/>
  <c r="X14" i="5"/>
  <c r="Y14" i="5"/>
  <c r="Z14" i="5"/>
  <c r="AA14" i="5"/>
  <c r="AB14" i="5"/>
  <c r="AC14" i="5"/>
  <c r="AD14" i="5"/>
  <c r="AE14" i="5"/>
  <c r="AF14" i="5"/>
  <c r="AG14" i="5"/>
  <c r="AH14" i="5"/>
  <c r="AI14" i="5"/>
  <c r="AJ14" i="5"/>
  <c r="AK14" i="5"/>
  <c r="AL14" i="5"/>
  <c r="AM14" i="5"/>
  <c r="AN14" i="5"/>
  <c r="AO14" i="5"/>
  <c r="AP14" i="5"/>
  <c r="AQ14" i="5"/>
  <c r="AR14" i="5"/>
  <c r="AS14" i="5"/>
  <c r="AT14" i="5"/>
  <c r="AU14" i="5"/>
  <c r="AV14" i="5"/>
  <c r="AW14" i="5"/>
  <c r="AX14" i="5"/>
  <c r="AY14" i="5"/>
  <c r="AZ14" i="5"/>
  <c r="BA14" i="5"/>
  <c r="BB14" i="5"/>
  <c r="BC14" i="5"/>
  <c r="BD14" i="5"/>
  <c r="BE14" i="5"/>
  <c r="BF14" i="5"/>
  <c r="BG14" i="5"/>
  <c r="BH14" i="5"/>
  <c r="BI14" i="5"/>
  <c r="BJ14" i="5"/>
  <c r="BK14" i="5"/>
  <c r="BL14" i="5"/>
  <c r="BM14" i="5"/>
  <c r="BN14" i="5"/>
  <c r="BO14" i="5"/>
  <c r="BP14" i="5"/>
  <c r="BQ14" i="5"/>
  <c r="BR14" i="5"/>
  <c r="BS14" i="5"/>
  <c r="BT14" i="5"/>
  <c r="BU14" i="5"/>
  <c r="BV14" i="5"/>
  <c r="BW14" i="5"/>
  <c r="BX14" i="5"/>
  <c r="BY14" i="5"/>
  <c r="BZ14" i="5"/>
  <c r="CA14" i="5"/>
  <c r="CB14" i="5"/>
  <c r="CC14" i="5"/>
  <c r="CD14" i="5"/>
  <c r="CE14" i="5"/>
  <c r="CF14" i="5"/>
  <c r="CG14" i="5"/>
  <c r="CH14" i="5"/>
  <c r="CI14" i="5"/>
  <c r="CJ14" i="5"/>
  <c r="CK14" i="5"/>
  <c r="CL14" i="5"/>
  <c r="CM14" i="5"/>
  <c r="CN14" i="5"/>
  <c r="CO14" i="5"/>
  <c r="CP14" i="5"/>
  <c r="CQ14" i="5"/>
  <c r="CR14" i="5"/>
  <c r="CS14" i="5"/>
  <c r="CT14" i="5"/>
  <c r="CU14" i="5"/>
  <c r="CV14" i="5"/>
  <c r="CW14" i="5"/>
  <c r="CX14" i="5"/>
  <c r="CY14" i="5"/>
  <c r="CZ14" i="5"/>
  <c r="DA14" i="5"/>
  <c r="DB14" i="5"/>
  <c r="DC14" i="5"/>
  <c r="DD14" i="5"/>
  <c r="DE14" i="5"/>
  <c r="DF14" i="5"/>
  <c r="DG14" i="5"/>
  <c r="DH14" i="5"/>
  <c r="DI14" i="5"/>
  <c r="DJ14" i="5"/>
  <c r="DK14" i="5"/>
  <c r="DL14" i="5"/>
  <c r="DM14" i="5"/>
  <c r="DN14" i="5"/>
  <c r="DO14" i="5"/>
  <c r="DP14" i="5"/>
  <c r="DQ14" i="5"/>
  <c r="DR14" i="5"/>
  <c r="DS14" i="5"/>
  <c r="DT14" i="5"/>
  <c r="DU14" i="5"/>
  <c r="DV14" i="5"/>
  <c r="DW14" i="5"/>
  <c r="DX14" i="5"/>
  <c r="DY14" i="5"/>
  <c r="DZ14" i="5"/>
  <c r="EA14" i="5"/>
  <c r="EB14" i="5"/>
  <c r="EC14" i="5"/>
  <c r="ED14" i="5"/>
  <c r="EE14" i="5"/>
  <c r="EF14" i="5"/>
  <c r="EG14" i="5"/>
  <c r="EH14" i="5"/>
  <c r="EI14" i="5"/>
  <c r="EJ14" i="5"/>
  <c r="EK14" i="5"/>
  <c r="EL14" i="5"/>
  <c r="EM14" i="5"/>
  <c r="EN14" i="5"/>
  <c r="EO14" i="5"/>
  <c r="EP14" i="5"/>
  <c r="EQ14" i="5"/>
  <c r="ER14" i="5"/>
  <c r="ES14" i="5"/>
  <c r="ET14" i="5"/>
  <c r="EU14" i="5"/>
  <c r="EV14" i="5"/>
  <c r="EW14" i="5"/>
  <c r="EX14" i="5"/>
  <c r="EY14" i="5"/>
  <c r="EZ14" i="5"/>
  <c r="FA14" i="5"/>
  <c r="FB14" i="5"/>
  <c r="FC14" i="5"/>
  <c r="FD14" i="5"/>
  <c r="FE14" i="5"/>
  <c r="FF14" i="5"/>
  <c r="FG14" i="5"/>
  <c r="FH14" i="5"/>
  <c r="FI14" i="5"/>
  <c r="FJ14" i="5"/>
  <c r="FK14" i="5"/>
  <c r="FL14" i="5"/>
  <c r="FM14" i="5"/>
  <c r="FN14" i="5"/>
  <c r="FO14" i="5"/>
  <c r="FP14" i="5"/>
  <c r="FQ14" i="5"/>
  <c r="FR14" i="5"/>
  <c r="FS14" i="5"/>
  <c r="FT14" i="5"/>
  <c r="FU14" i="5"/>
  <c r="FV14" i="5"/>
  <c r="FW14" i="5"/>
  <c r="FX14" i="5"/>
  <c r="FY14" i="5"/>
  <c r="FZ14" i="5"/>
  <c r="GA14" i="5"/>
  <c r="GB14" i="5"/>
  <c r="GC14" i="5"/>
  <c r="GD14" i="5"/>
  <c r="GE14" i="5"/>
  <c r="GF14" i="5"/>
  <c r="GG14" i="5"/>
  <c r="GH14" i="5"/>
  <c r="GI14" i="5"/>
  <c r="GJ14" i="5"/>
  <c r="GK14" i="5"/>
  <c r="GL14" i="5"/>
  <c r="GM14" i="5"/>
  <c r="GN14" i="5"/>
  <c r="GO14" i="5"/>
  <c r="GP14" i="5"/>
  <c r="GQ14" i="5"/>
  <c r="GR14" i="5"/>
  <c r="GS14" i="5"/>
  <c r="GT14" i="5"/>
  <c r="GU14" i="5"/>
  <c r="GV14" i="5"/>
  <c r="GW14" i="5"/>
  <c r="GX14" i="5"/>
  <c r="GY14" i="5"/>
  <c r="GZ14" i="5"/>
  <c r="HA14" i="5"/>
  <c r="HB14" i="5"/>
  <c r="HC14" i="5"/>
  <c r="HD14" i="5"/>
  <c r="HE14" i="5"/>
  <c r="HF14" i="5"/>
  <c r="HG14" i="5"/>
  <c r="HH14" i="5"/>
  <c r="HI14" i="5"/>
  <c r="HJ14" i="5"/>
  <c r="HK14" i="5"/>
  <c r="HL14" i="5"/>
  <c r="HM14" i="5"/>
  <c r="HN14" i="5"/>
  <c r="HO14" i="5"/>
  <c r="HP14" i="5"/>
  <c r="HQ14" i="5"/>
  <c r="HR14" i="5"/>
  <c r="HS14" i="5"/>
  <c r="HT14" i="5"/>
  <c r="HU14" i="5"/>
  <c r="HV14" i="5"/>
  <c r="HW14" i="5"/>
  <c r="HX14" i="5"/>
  <c r="HY14" i="5"/>
  <c r="HZ14" i="5"/>
  <c r="IA14" i="5"/>
  <c r="IB14" i="5"/>
  <c r="IC14" i="5"/>
  <c r="ID14" i="5"/>
  <c r="IE14" i="5"/>
  <c r="IF14" i="5"/>
  <c r="IG14" i="5"/>
  <c r="IH14" i="5"/>
  <c r="II14" i="5"/>
  <c r="IJ14" i="5"/>
  <c r="IK14" i="5"/>
  <c r="IL14" i="5"/>
  <c r="IM14" i="5"/>
  <c r="IN14" i="5"/>
  <c r="IO14" i="5"/>
  <c r="IP14" i="5"/>
  <c r="IQ14" i="5"/>
  <c r="IR14" i="5"/>
  <c r="IS14" i="5"/>
  <c r="IT14" i="5"/>
  <c r="IU14" i="5"/>
  <c r="IV14" i="5"/>
  <c r="A13" i="5"/>
  <c r="B13" i="5"/>
  <c r="C13" i="5"/>
  <c r="D13" i="5"/>
  <c r="E13" i="5"/>
  <c r="F13" i="5"/>
  <c r="G13" i="5"/>
  <c r="H13" i="5"/>
  <c r="I13" i="5"/>
  <c r="J13" i="5"/>
  <c r="K13" i="5"/>
  <c r="L13" i="5"/>
  <c r="M13" i="5"/>
  <c r="N13" i="5"/>
  <c r="O13" i="5"/>
  <c r="P13" i="5"/>
  <c r="Q13" i="5"/>
  <c r="R13" i="5"/>
  <c r="S13" i="5"/>
  <c r="T13" i="5"/>
  <c r="U13" i="5"/>
  <c r="V13" i="5"/>
  <c r="W13" i="5"/>
  <c r="X13" i="5"/>
  <c r="Y13" i="5"/>
  <c r="Z13" i="5"/>
  <c r="AA13" i="5"/>
  <c r="AB13" i="5"/>
  <c r="AC13" i="5"/>
  <c r="AD13" i="5"/>
  <c r="AE13" i="5"/>
  <c r="AF13" i="5"/>
  <c r="AG13" i="5"/>
  <c r="AH13" i="5"/>
  <c r="AI13" i="5"/>
  <c r="AJ13" i="5"/>
  <c r="AK13" i="5"/>
  <c r="AL13" i="5"/>
  <c r="AM13" i="5"/>
  <c r="AN13" i="5"/>
  <c r="AO13" i="5"/>
  <c r="AP13" i="5"/>
  <c r="AQ13" i="5"/>
  <c r="AR13" i="5"/>
  <c r="AS13" i="5"/>
  <c r="AT13" i="5"/>
  <c r="AU13" i="5"/>
  <c r="AV13" i="5"/>
  <c r="AW13" i="5"/>
  <c r="AX13" i="5"/>
  <c r="AY13" i="5"/>
  <c r="AZ13" i="5"/>
  <c r="BA13" i="5"/>
  <c r="BB13" i="5"/>
  <c r="BC13" i="5"/>
  <c r="BD13" i="5"/>
  <c r="BE13" i="5"/>
  <c r="BF13" i="5"/>
  <c r="BG13" i="5"/>
  <c r="BH13" i="5"/>
  <c r="BI13" i="5"/>
  <c r="BJ13" i="5"/>
  <c r="BK13" i="5"/>
  <c r="BL13" i="5"/>
  <c r="BM13" i="5"/>
  <c r="BN13" i="5"/>
  <c r="BO13" i="5"/>
  <c r="BP13" i="5"/>
  <c r="BQ13" i="5"/>
  <c r="BR13" i="5"/>
  <c r="BS13" i="5"/>
  <c r="BT13" i="5"/>
  <c r="BU13" i="5"/>
  <c r="BV13" i="5"/>
  <c r="BW13" i="5"/>
  <c r="BX13" i="5"/>
  <c r="BY13" i="5"/>
  <c r="BZ13" i="5"/>
  <c r="CA13" i="5"/>
  <c r="CB13" i="5"/>
  <c r="CC13" i="5"/>
  <c r="CD13" i="5"/>
  <c r="CE13" i="5"/>
  <c r="CF13" i="5"/>
  <c r="CG13" i="5"/>
  <c r="CH13" i="5"/>
  <c r="CI13" i="5"/>
  <c r="CJ13" i="5"/>
  <c r="CK13" i="5"/>
  <c r="CL13" i="5"/>
  <c r="CM13" i="5"/>
  <c r="CN13" i="5"/>
  <c r="CO13" i="5"/>
  <c r="CP13" i="5"/>
  <c r="CQ13" i="5"/>
  <c r="CR13" i="5"/>
  <c r="CS13" i="5"/>
  <c r="CT13" i="5"/>
  <c r="CU13" i="5"/>
  <c r="CV13" i="5"/>
  <c r="CW13" i="5"/>
  <c r="CX13" i="5"/>
  <c r="CY13" i="5"/>
  <c r="CZ13" i="5"/>
  <c r="DA13" i="5"/>
  <c r="DB13" i="5"/>
  <c r="DC13" i="5"/>
  <c r="DD13" i="5"/>
  <c r="DE13" i="5"/>
  <c r="DF13" i="5"/>
  <c r="DG13" i="5"/>
  <c r="DH13" i="5"/>
  <c r="DI13" i="5"/>
  <c r="DJ13" i="5"/>
  <c r="DK13" i="5"/>
  <c r="DL13" i="5"/>
  <c r="DM13" i="5"/>
  <c r="DN13" i="5"/>
  <c r="DO13" i="5"/>
  <c r="DP13" i="5"/>
  <c r="DQ13" i="5"/>
  <c r="DR13" i="5"/>
  <c r="DS13" i="5"/>
  <c r="DT13" i="5"/>
  <c r="DU13" i="5"/>
  <c r="DV13" i="5"/>
  <c r="DW13" i="5"/>
  <c r="DX13" i="5"/>
  <c r="DY13" i="5"/>
  <c r="DZ13" i="5"/>
  <c r="EA13" i="5"/>
  <c r="EB13" i="5"/>
  <c r="EC13" i="5"/>
  <c r="ED13" i="5"/>
  <c r="EE13" i="5"/>
  <c r="EF13" i="5"/>
  <c r="EG13" i="5"/>
  <c r="EH13" i="5"/>
  <c r="EI13" i="5"/>
  <c r="EJ13" i="5"/>
  <c r="EK13" i="5"/>
  <c r="EL13" i="5"/>
  <c r="EM13" i="5"/>
  <c r="EN13" i="5"/>
  <c r="EO13" i="5"/>
  <c r="EP13" i="5"/>
  <c r="EQ13" i="5"/>
  <c r="ER13" i="5"/>
  <c r="ES13" i="5"/>
  <c r="ET13" i="5"/>
  <c r="EU13" i="5"/>
  <c r="EV13" i="5"/>
  <c r="EW13" i="5"/>
  <c r="EX13" i="5"/>
  <c r="EY13" i="5"/>
  <c r="EZ13" i="5"/>
  <c r="FA13" i="5"/>
  <c r="FB13" i="5"/>
  <c r="FC13" i="5"/>
  <c r="FD13" i="5"/>
  <c r="FE13" i="5"/>
  <c r="FF13" i="5"/>
  <c r="FG13" i="5"/>
  <c r="FH13" i="5"/>
  <c r="FI13" i="5"/>
  <c r="FJ13" i="5"/>
  <c r="FK13" i="5"/>
  <c r="FL13" i="5"/>
  <c r="FM13" i="5"/>
  <c r="FN13" i="5"/>
  <c r="FO13" i="5"/>
  <c r="FP13" i="5"/>
  <c r="FQ13" i="5"/>
  <c r="FR13" i="5"/>
  <c r="FS13" i="5"/>
  <c r="FT13" i="5"/>
  <c r="FU13" i="5"/>
  <c r="FV13" i="5"/>
  <c r="FW13" i="5"/>
  <c r="FX13" i="5"/>
  <c r="FY13" i="5"/>
  <c r="FZ13" i="5"/>
  <c r="GA13" i="5"/>
  <c r="GB13" i="5"/>
  <c r="GC13" i="5"/>
  <c r="GD13" i="5"/>
  <c r="GE13" i="5"/>
  <c r="GF13" i="5"/>
  <c r="GG13" i="5"/>
  <c r="GH13" i="5"/>
  <c r="GI13" i="5"/>
  <c r="GJ13" i="5"/>
  <c r="GK13" i="5"/>
  <c r="GL13" i="5"/>
  <c r="GM13" i="5"/>
  <c r="GN13" i="5"/>
  <c r="GO13" i="5"/>
  <c r="GP13" i="5"/>
  <c r="GQ13" i="5"/>
  <c r="GR13" i="5"/>
  <c r="GS13" i="5"/>
  <c r="GT13" i="5"/>
  <c r="GU13" i="5"/>
  <c r="GV13" i="5"/>
  <c r="GW13" i="5"/>
  <c r="GX13" i="5"/>
  <c r="GY13" i="5"/>
  <c r="GZ13" i="5"/>
  <c r="HA13" i="5"/>
  <c r="HB13" i="5"/>
  <c r="HC13" i="5"/>
  <c r="HD13" i="5"/>
  <c r="HE13" i="5"/>
  <c r="HF13" i="5"/>
  <c r="HG13" i="5"/>
  <c r="HH13" i="5"/>
  <c r="HI13" i="5"/>
  <c r="HJ13" i="5"/>
  <c r="HK13" i="5"/>
  <c r="HL13" i="5"/>
  <c r="HM13" i="5"/>
  <c r="HN13" i="5"/>
  <c r="HO13" i="5"/>
  <c r="HP13" i="5"/>
  <c r="HQ13" i="5"/>
  <c r="HR13" i="5"/>
  <c r="HS13" i="5"/>
  <c r="HT13" i="5"/>
  <c r="HU13" i="5"/>
  <c r="HV13" i="5"/>
  <c r="HW13" i="5"/>
  <c r="HX13" i="5"/>
  <c r="HY13" i="5"/>
  <c r="HZ13" i="5"/>
  <c r="IA13" i="5"/>
  <c r="IB13" i="5"/>
  <c r="IC13" i="5"/>
  <c r="ID13" i="5"/>
  <c r="IE13" i="5"/>
  <c r="IF13" i="5"/>
  <c r="IG13" i="5"/>
  <c r="IH13" i="5"/>
  <c r="II13" i="5"/>
  <c r="IJ13" i="5"/>
  <c r="IK13" i="5"/>
  <c r="IL13" i="5"/>
  <c r="IM13" i="5"/>
  <c r="IN13" i="5"/>
  <c r="IO13" i="5"/>
  <c r="IP13" i="5"/>
  <c r="IQ13" i="5"/>
  <c r="IR13" i="5"/>
  <c r="IS13" i="5"/>
  <c r="IT13" i="5"/>
  <c r="IU13" i="5"/>
  <c r="IV13" i="5"/>
  <c r="A12" i="5"/>
  <c r="B12" i="5"/>
  <c r="C12" i="5"/>
  <c r="D12" i="5"/>
  <c r="E12" i="5"/>
  <c r="F12" i="5"/>
  <c r="G12" i="5"/>
  <c r="H12" i="5"/>
  <c r="I12" i="5"/>
  <c r="J12" i="5"/>
  <c r="K12" i="5"/>
  <c r="L12" i="5"/>
  <c r="M12" i="5"/>
  <c r="N12" i="5"/>
  <c r="O12" i="5"/>
  <c r="P12" i="5"/>
  <c r="Q12" i="5"/>
  <c r="R12" i="5"/>
  <c r="S12" i="5"/>
  <c r="T12" i="5"/>
  <c r="U12" i="5"/>
  <c r="V12" i="5"/>
  <c r="W12" i="5"/>
  <c r="X12" i="5"/>
  <c r="Y12" i="5"/>
  <c r="Z12" i="5"/>
  <c r="AA12" i="5"/>
  <c r="AB12" i="5"/>
  <c r="AC12" i="5"/>
  <c r="AD12" i="5"/>
  <c r="AE12" i="5"/>
  <c r="AF12" i="5"/>
  <c r="AG12" i="5"/>
  <c r="AH12" i="5"/>
  <c r="AI12" i="5"/>
  <c r="AJ12" i="5"/>
  <c r="AK12" i="5"/>
  <c r="AL12" i="5"/>
  <c r="AM12" i="5"/>
  <c r="AN12" i="5"/>
  <c r="AO12" i="5"/>
  <c r="AP12" i="5"/>
  <c r="AQ12" i="5"/>
  <c r="AR12" i="5"/>
  <c r="AS12" i="5"/>
  <c r="AT12" i="5"/>
  <c r="AU12" i="5"/>
  <c r="AV12" i="5"/>
  <c r="AW12" i="5"/>
  <c r="AX12" i="5"/>
  <c r="AY12" i="5"/>
  <c r="AZ12" i="5"/>
  <c r="BA12" i="5"/>
  <c r="BB12" i="5"/>
  <c r="BC12" i="5"/>
  <c r="BD12" i="5"/>
  <c r="BE12" i="5"/>
  <c r="BF12" i="5"/>
  <c r="BG12" i="5"/>
  <c r="BH12" i="5"/>
  <c r="BI12" i="5"/>
  <c r="BJ12" i="5"/>
  <c r="BK12" i="5"/>
  <c r="BL12" i="5"/>
  <c r="BM12" i="5"/>
  <c r="BN12" i="5"/>
  <c r="BO12" i="5"/>
  <c r="BP12" i="5"/>
  <c r="BQ12" i="5"/>
  <c r="BR12" i="5"/>
  <c r="BS12" i="5"/>
  <c r="BT12" i="5"/>
  <c r="BU12" i="5"/>
  <c r="BV12" i="5"/>
  <c r="BW12" i="5"/>
  <c r="BX12" i="5"/>
  <c r="BY12" i="5"/>
  <c r="BZ12" i="5"/>
  <c r="CA12" i="5"/>
  <c r="CB12" i="5"/>
  <c r="CC12" i="5"/>
  <c r="CD12" i="5"/>
  <c r="CE12" i="5"/>
  <c r="CF12" i="5"/>
  <c r="CG12" i="5"/>
  <c r="CH12" i="5"/>
  <c r="CI12" i="5"/>
  <c r="CJ12" i="5"/>
  <c r="CK12" i="5"/>
  <c r="CL12" i="5"/>
  <c r="CM12" i="5"/>
  <c r="CN12" i="5"/>
  <c r="CO12" i="5"/>
  <c r="CP12" i="5"/>
  <c r="CQ12" i="5"/>
  <c r="CR12" i="5"/>
  <c r="CS12" i="5"/>
  <c r="CT12" i="5"/>
  <c r="CU12" i="5"/>
  <c r="CV12" i="5"/>
  <c r="CW12" i="5"/>
  <c r="CX12" i="5"/>
  <c r="CY12" i="5"/>
  <c r="CZ12" i="5"/>
  <c r="DA12" i="5"/>
  <c r="DB12" i="5"/>
  <c r="DC12" i="5"/>
  <c r="DD12" i="5"/>
  <c r="DE12" i="5"/>
  <c r="DF12" i="5"/>
  <c r="DG12" i="5"/>
  <c r="DH12" i="5"/>
  <c r="DI12" i="5"/>
  <c r="DJ12" i="5"/>
  <c r="DK12" i="5"/>
  <c r="DL12" i="5"/>
  <c r="DM12" i="5"/>
  <c r="DN12" i="5"/>
  <c r="DO12" i="5"/>
  <c r="DP12" i="5"/>
  <c r="DQ12" i="5"/>
  <c r="DR12" i="5"/>
  <c r="DS12" i="5"/>
  <c r="DT12" i="5"/>
  <c r="DU12" i="5"/>
  <c r="DV12" i="5"/>
  <c r="DW12" i="5"/>
  <c r="DX12" i="5"/>
  <c r="DY12" i="5"/>
  <c r="DZ12" i="5"/>
  <c r="EA12" i="5"/>
  <c r="EB12" i="5"/>
  <c r="EC12" i="5"/>
  <c r="ED12" i="5"/>
  <c r="EE12" i="5"/>
  <c r="EF12" i="5"/>
  <c r="EG12" i="5"/>
  <c r="EH12" i="5"/>
  <c r="EI12" i="5"/>
  <c r="EJ12" i="5"/>
  <c r="EK12" i="5"/>
  <c r="EL12" i="5"/>
  <c r="EM12" i="5"/>
  <c r="EN12" i="5"/>
  <c r="EO12" i="5"/>
  <c r="EP12" i="5"/>
  <c r="EQ12" i="5"/>
  <c r="ER12" i="5"/>
  <c r="ES12" i="5"/>
  <c r="ET12" i="5"/>
  <c r="EU12" i="5"/>
  <c r="EV12" i="5"/>
  <c r="EW12" i="5"/>
  <c r="EX12" i="5"/>
  <c r="EY12" i="5"/>
  <c r="EZ12" i="5"/>
  <c r="FA12" i="5"/>
  <c r="FB12" i="5"/>
  <c r="FC12" i="5"/>
  <c r="FD12" i="5"/>
  <c r="FE12" i="5"/>
  <c r="FF12" i="5"/>
  <c r="FG12" i="5"/>
  <c r="FH12" i="5"/>
  <c r="FI12" i="5"/>
  <c r="FJ12" i="5"/>
  <c r="FK12" i="5"/>
  <c r="FL12" i="5"/>
  <c r="FM12" i="5"/>
  <c r="FN12" i="5"/>
  <c r="FO12" i="5"/>
  <c r="FP12" i="5"/>
  <c r="FQ12" i="5"/>
  <c r="FR12" i="5"/>
  <c r="FS12" i="5"/>
  <c r="FT12" i="5"/>
  <c r="FU12" i="5"/>
  <c r="FV12" i="5"/>
  <c r="FW12" i="5"/>
  <c r="FX12" i="5"/>
  <c r="FY12" i="5"/>
  <c r="FZ12" i="5"/>
  <c r="GA12" i="5"/>
  <c r="GB12" i="5"/>
  <c r="GC12" i="5"/>
  <c r="GD12" i="5"/>
  <c r="GE12" i="5"/>
  <c r="GF12" i="5"/>
  <c r="GG12" i="5"/>
  <c r="GH12" i="5"/>
  <c r="GI12" i="5"/>
  <c r="GJ12" i="5"/>
  <c r="GK12" i="5"/>
  <c r="GL12" i="5"/>
  <c r="GM12" i="5"/>
  <c r="GN12" i="5"/>
  <c r="GO12" i="5"/>
  <c r="GP12" i="5"/>
  <c r="GQ12" i="5"/>
  <c r="GR12" i="5"/>
  <c r="GS12" i="5"/>
  <c r="GT12" i="5"/>
  <c r="GU12" i="5"/>
  <c r="GV12" i="5"/>
  <c r="GW12" i="5"/>
  <c r="GX12" i="5"/>
  <c r="GY12" i="5"/>
  <c r="GZ12" i="5"/>
  <c r="HA12" i="5"/>
  <c r="HB12" i="5"/>
  <c r="HC12" i="5"/>
  <c r="HD12" i="5"/>
  <c r="HE12" i="5"/>
  <c r="HF12" i="5"/>
  <c r="HG12" i="5"/>
  <c r="HH12" i="5"/>
  <c r="HI12" i="5"/>
  <c r="HJ12" i="5"/>
  <c r="HK12" i="5"/>
  <c r="HL12" i="5"/>
  <c r="HM12" i="5"/>
  <c r="HN12" i="5"/>
  <c r="HO12" i="5"/>
  <c r="HP12" i="5"/>
  <c r="HQ12" i="5"/>
  <c r="HR12" i="5"/>
  <c r="HS12" i="5"/>
  <c r="HT12" i="5"/>
  <c r="HU12" i="5"/>
  <c r="HV12" i="5"/>
  <c r="HW12" i="5"/>
  <c r="HX12" i="5"/>
  <c r="HY12" i="5"/>
  <c r="HZ12" i="5"/>
  <c r="IA12" i="5"/>
  <c r="IB12" i="5"/>
  <c r="IC12" i="5"/>
  <c r="ID12" i="5"/>
  <c r="IE12" i="5"/>
  <c r="IF12" i="5"/>
  <c r="IG12" i="5"/>
  <c r="IH12" i="5"/>
  <c r="II12" i="5"/>
  <c r="IJ12" i="5"/>
  <c r="IK12" i="5"/>
  <c r="IL12" i="5"/>
  <c r="IM12" i="5"/>
  <c r="IN12" i="5"/>
  <c r="IO12" i="5"/>
  <c r="IP12" i="5"/>
  <c r="IQ12" i="5"/>
  <c r="IR12" i="5"/>
  <c r="IS12" i="5"/>
  <c r="IT12" i="5"/>
  <c r="IU12" i="5"/>
  <c r="IV12" i="5"/>
  <c r="A11" i="5"/>
  <c r="B11" i="5"/>
  <c r="C11" i="5"/>
  <c r="D11" i="5"/>
  <c r="E11" i="5"/>
  <c r="F11" i="5"/>
  <c r="G11" i="5"/>
  <c r="H11" i="5"/>
  <c r="I11" i="5"/>
  <c r="J11" i="5"/>
  <c r="K11" i="5"/>
  <c r="L11" i="5"/>
  <c r="M11" i="5"/>
  <c r="N11" i="5"/>
  <c r="O11" i="5"/>
  <c r="P11" i="5"/>
  <c r="Q11" i="5"/>
  <c r="R11" i="5"/>
  <c r="S11" i="5"/>
  <c r="T11" i="5"/>
  <c r="U11" i="5"/>
  <c r="V11" i="5"/>
  <c r="W11" i="5"/>
  <c r="X11" i="5"/>
  <c r="Y11" i="5"/>
  <c r="Z11" i="5"/>
  <c r="AA11" i="5"/>
  <c r="AB11" i="5"/>
  <c r="AC11" i="5"/>
  <c r="AD11" i="5"/>
  <c r="AE11" i="5"/>
  <c r="AF11" i="5"/>
  <c r="AG11" i="5"/>
  <c r="AH11" i="5"/>
  <c r="AI11" i="5"/>
  <c r="AJ11" i="5"/>
  <c r="AK11" i="5"/>
  <c r="AL11" i="5"/>
  <c r="AM11" i="5"/>
  <c r="AN11" i="5"/>
  <c r="AO11" i="5"/>
  <c r="AP11" i="5"/>
  <c r="AQ11" i="5"/>
  <c r="AR11" i="5"/>
  <c r="AS11" i="5"/>
  <c r="AT11" i="5"/>
  <c r="AU11" i="5"/>
  <c r="AV11" i="5"/>
  <c r="AW11" i="5"/>
  <c r="AX11" i="5"/>
  <c r="AY11" i="5"/>
  <c r="AZ11" i="5"/>
  <c r="BA11" i="5"/>
  <c r="BB11" i="5"/>
  <c r="BC11" i="5"/>
  <c r="BD11" i="5"/>
  <c r="BE11" i="5"/>
  <c r="BF11" i="5"/>
  <c r="BG11" i="5"/>
  <c r="BH11" i="5"/>
  <c r="BI11" i="5"/>
  <c r="BJ11" i="5"/>
  <c r="BL11" i="5"/>
  <c r="BM11" i="5"/>
  <c r="BN11" i="5"/>
  <c r="BO11" i="5"/>
  <c r="BP11" i="5"/>
  <c r="BQ11" i="5"/>
  <c r="BR11" i="5"/>
  <c r="BS11" i="5"/>
  <c r="BT11" i="5"/>
  <c r="BU11" i="5"/>
  <c r="BV11" i="5"/>
  <c r="BW11" i="5"/>
  <c r="BX11" i="5"/>
  <c r="BY11" i="5"/>
  <c r="BZ11" i="5"/>
  <c r="CA11" i="5"/>
  <c r="CB11" i="5"/>
  <c r="CC11" i="5"/>
  <c r="CD11" i="5"/>
  <c r="CE11" i="5"/>
  <c r="CF11" i="5"/>
  <c r="CG11" i="5"/>
  <c r="CH11" i="5"/>
  <c r="CI11" i="5"/>
  <c r="CJ11" i="5"/>
  <c r="CK11" i="5"/>
  <c r="CL11" i="5"/>
  <c r="CM11" i="5"/>
  <c r="CN11" i="5"/>
  <c r="CO11" i="5"/>
  <c r="CP11" i="5"/>
  <c r="CQ11" i="5"/>
  <c r="CR11" i="5"/>
  <c r="CS11" i="5"/>
  <c r="CT11" i="5"/>
  <c r="CU11" i="5"/>
  <c r="CV11" i="5"/>
  <c r="CW11" i="5"/>
  <c r="CX11" i="5"/>
  <c r="CY11" i="5"/>
  <c r="CZ11" i="5"/>
  <c r="DA11" i="5"/>
  <c r="DB11" i="5"/>
  <c r="DC11" i="5"/>
  <c r="DD11" i="5"/>
  <c r="DE11" i="5"/>
  <c r="DF11" i="5"/>
  <c r="DG11" i="5"/>
  <c r="DH11" i="5"/>
  <c r="DI11" i="5"/>
  <c r="DJ11" i="5"/>
  <c r="DK11" i="5"/>
  <c r="DL11" i="5"/>
  <c r="DM11" i="5"/>
  <c r="DN11" i="5"/>
  <c r="DO11" i="5"/>
  <c r="DP11" i="5"/>
  <c r="DQ11" i="5"/>
  <c r="DR11" i="5"/>
  <c r="DS11" i="5"/>
  <c r="DT11" i="5"/>
  <c r="DU11" i="5"/>
  <c r="DV11" i="5"/>
  <c r="DW11" i="5"/>
  <c r="DX11" i="5"/>
  <c r="DY11" i="5"/>
  <c r="DZ11" i="5"/>
  <c r="EA11" i="5"/>
  <c r="EB11" i="5"/>
  <c r="EC11" i="5"/>
  <c r="ED11" i="5"/>
  <c r="EE11" i="5"/>
  <c r="EF11" i="5"/>
  <c r="EG11" i="5"/>
  <c r="EH11" i="5"/>
  <c r="EI11" i="5"/>
  <c r="EJ11" i="5"/>
  <c r="EK11" i="5"/>
  <c r="EL11" i="5"/>
  <c r="EM11" i="5"/>
  <c r="EN11" i="5"/>
  <c r="EO11" i="5"/>
  <c r="EP11" i="5"/>
  <c r="EQ11" i="5"/>
  <c r="ER11" i="5"/>
  <c r="ES11" i="5"/>
  <c r="ET11" i="5"/>
  <c r="EU11" i="5"/>
  <c r="EV11" i="5"/>
  <c r="EW11" i="5"/>
  <c r="EX11" i="5"/>
  <c r="EY11" i="5"/>
  <c r="EZ11" i="5"/>
  <c r="FA11" i="5"/>
  <c r="FB11" i="5"/>
  <c r="FC11" i="5"/>
  <c r="FD11" i="5"/>
  <c r="FE11" i="5"/>
  <c r="FF11" i="5"/>
  <c r="FG11" i="5"/>
  <c r="FH11" i="5"/>
  <c r="FI11" i="5"/>
  <c r="FJ11" i="5"/>
  <c r="FK11" i="5"/>
  <c r="FL11" i="5"/>
  <c r="FM11" i="5"/>
  <c r="FN11" i="5"/>
  <c r="FO11" i="5"/>
  <c r="FP11" i="5"/>
  <c r="FQ11" i="5"/>
  <c r="FR11" i="5"/>
  <c r="FS11" i="5"/>
  <c r="FT11" i="5"/>
  <c r="FU11" i="5"/>
  <c r="FV11" i="5"/>
  <c r="FW11" i="5"/>
  <c r="FX11" i="5"/>
  <c r="FY11" i="5"/>
  <c r="FZ11" i="5"/>
  <c r="GA11" i="5"/>
  <c r="GB11" i="5"/>
  <c r="GC11" i="5"/>
  <c r="GD11" i="5"/>
  <c r="GE11" i="5"/>
  <c r="GF11" i="5"/>
  <c r="GG11" i="5"/>
  <c r="GH11" i="5"/>
  <c r="GI11" i="5"/>
  <c r="GJ11" i="5"/>
  <c r="GK11" i="5"/>
  <c r="GL11" i="5"/>
  <c r="GM11" i="5"/>
  <c r="GN11" i="5"/>
  <c r="GO11" i="5"/>
  <c r="GP11" i="5"/>
  <c r="GQ11" i="5"/>
  <c r="GR11" i="5"/>
  <c r="GS11" i="5"/>
  <c r="GT11" i="5"/>
  <c r="GU11" i="5"/>
  <c r="GV11" i="5"/>
  <c r="GW11" i="5"/>
  <c r="GX11" i="5"/>
  <c r="GY11" i="5"/>
  <c r="GZ11" i="5"/>
  <c r="HA11" i="5"/>
  <c r="HB11" i="5"/>
  <c r="HC11" i="5"/>
  <c r="HD11" i="5"/>
  <c r="HE11" i="5"/>
  <c r="HF11" i="5"/>
  <c r="HG11" i="5"/>
  <c r="HH11" i="5"/>
  <c r="HI11" i="5"/>
  <c r="HJ11" i="5"/>
  <c r="HK11" i="5"/>
  <c r="HL11" i="5"/>
  <c r="HM11" i="5"/>
  <c r="HN11" i="5"/>
  <c r="HO11" i="5"/>
  <c r="HP11" i="5"/>
  <c r="HQ11" i="5"/>
  <c r="HR11" i="5"/>
  <c r="HS11" i="5"/>
  <c r="HT11" i="5"/>
  <c r="HU11" i="5"/>
  <c r="HV11" i="5"/>
  <c r="HW11" i="5"/>
  <c r="HX11" i="5"/>
  <c r="HY11" i="5"/>
  <c r="HZ11" i="5"/>
  <c r="IA11" i="5"/>
  <c r="IB11" i="5"/>
  <c r="IC11" i="5"/>
  <c r="ID11" i="5"/>
  <c r="IE11" i="5"/>
  <c r="IF11" i="5"/>
  <c r="IG11" i="5"/>
  <c r="IH11" i="5"/>
  <c r="II11" i="5"/>
  <c r="IJ11" i="5"/>
  <c r="IK11" i="5"/>
  <c r="IL11" i="5"/>
  <c r="IM11" i="5"/>
  <c r="IN11" i="5"/>
  <c r="IO11" i="5"/>
  <c r="IP11" i="5"/>
  <c r="IQ11" i="5"/>
  <c r="IR11" i="5"/>
  <c r="IS11" i="5"/>
  <c r="IT11" i="5"/>
  <c r="IU11" i="5"/>
  <c r="IV11" i="5"/>
  <c r="A10" i="5"/>
  <c r="B10" i="5"/>
  <c r="C10" i="5"/>
  <c r="D10" i="5"/>
  <c r="E10" i="5"/>
  <c r="F10" i="5"/>
  <c r="G10" i="5"/>
  <c r="H10" i="5"/>
  <c r="I10" i="5"/>
  <c r="J10" i="5"/>
  <c r="K10" i="5"/>
  <c r="L10" i="5"/>
  <c r="M10" i="5"/>
  <c r="N10" i="5"/>
  <c r="O10" i="5"/>
  <c r="P10" i="5"/>
  <c r="Q10" i="5"/>
  <c r="R10" i="5"/>
  <c r="S10" i="5"/>
  <c r="T10" i="5"/>
  <c r="U10" i="5"/>
  <c r="V10" i="5"/>
  <c r="W10" i="5"/>
  <c r="X10" i="5"/>
  <c r="Y10" i="5"/>
  <c r="Z10" i="5"/>
  <c r="AA10" i="5"/>
  <c r="AB10" i="5"/>
  <c r="AC10" i="5"/>
  <c r="AD10" i="5"/>
  <c r="AE10" i="5"/>
  <c r="AF10" i="5"/>
  <c r="AG10" i="5"/>
  <c r="AH10" i="5"/>
  <c r="AI10" i="5"/>
  <c r="AJ10" i="5"/>
  <c r="AK10" i="5"/>
  <c r="AL10" i="5"/>
  <c r="AM10" i="5"/>
  <c r="AN10" i="5"/>
  <c r="AO10" i="5"/>
  <c r="AP10" i="5"/>
  <c r="AQ10" i="5"/>
  <c r="AR10" i="5"/>
  <c r="AS10" i="5"/>
  <c r="AT10" i="5"/>
  <c r="AU10" i="5"/>
  <c r="AV10" i="5"/>
  <c r="AW10" i="5"/>
  <c r="AX10" i="5"/>
  <c r="AY10" i="5"/>
  <c r="AZ10" i="5"/>
  <c r="BA10" i="5"/>
  <c r="BB10" i="5"/>
  <c r="BC10" i="5"/>
  <c r="BD10" i="5"/>
  <c r="BE10" i="5"/>
  <c r="BF10" i="5"/>
  <c r="BG10" i="5"/>
  <c r="BH10" i="5"/>
  <c r="BI10" i="5"/>
  <c r="BJ10" i="5"/>
  <c r="BK10" i="5"/>
  <c r="BL10" i="5"/>
  <c r="BM10" i="5"/>
  <c r="BN10" i="5"/>
  <c r="BO10" i="5"/>
  <c r="BP10" i="5"/>
  <c r="BQ10" i="5"/>
  <c r="BR10" i="5"/>
  <c r="BS10" i="5"/>
  <c r="BT10" i="5"/>
  <c r="BU10" i="5"/>
  <c r="BV10" i="5"/>
  <c r="BW10" i="5"/>
  <c r="BX10" i="5"/>
  <c r="BY10" i="5"/>
  <c r="BZ10" i="5"/>
  <c r="CA10" i="5"/>
  <c r="CB10" i="5"/>
  <c r="CC10" i="5"/>
  <c r="CD10" i="5"/>
  <c r="CE10" i="5"/>
  <c r="CF10" i="5"/>
  <c r="CG10" i="5"/>
  <c r="CH10" i="5"/>
  <c r="CI10" i="5"/>
  <c r="CJ10" i="5"/>
  <c r="CK10" i="5"/>
  <c r="CL10" i="5"/>
  <c r="CM10" i="5"/>
  <c r="CN10" i="5"/>
  <c r="CO10" i="5"/>
  <c r="CP10" i="5"/>
  <c r="CQ10" i="5"/>
  <c r="CR10" i="5"/>
  <c r="CS10" i="5"/>
  <c r="CT10" i="5"/>
  <c r="CU10" i="5"/>
  <c r="CV10" i="5"/>
  <c r="CW10" i="5"/>
  <c r="CX10" i="5"/>
  <c r="CY10" i="5"/>
  <c r="CZ10" i="5"/>
  <c r="DA10" i="5"/>
  <c r="DB10" i="5"/>
  <c r="DC10" i="5"/>
  <c r="DD10" i="5"/>
  <c r="DE10" i="5"/>
  <c r="DF10" i="5"/>
  <c r="DG10" i="5"/>
  <c r="DH10" i="5"/>
  <c r="DI10" i="5"/>
  <c r="DJ10" i="5"/>
  <c r="DK10" i="5"/>
  <c r="DL10" i="5"/>
  <c r="DM10" i="5"/>
  <c r="DN10" i="5"/>
  <c r="DO10" i="5"/>
  <c r="DP10" i="5"/>
  <c r="DQ10" i="5"/>
  <c r="DR10" i="5"/>
  <c r="DS10" i="5"/>
  <c r="DT10" i="5"/>
  <c r="DU10" i="5"/>
  <c r="DV10" i="5"/>
  <c r="DW10" i="5"/>
  <c r="DX10" i="5"/>
  <c r="DY10" i="5"/>
  <c r="DZ10" i="5"/>
  <c r="EA10" i="5"/>
  <c r="EB10" i="5"/>
  <c r="EC10" i="5"/>
  <c r="ED10" i="5"/>
  <c r="EE10" i="5"/>
  <c r="EF10" i="5"/>
  <c r="EG10" i="5"/>
  <c r="EH10" i="5"/>
  <c r="EI10" i="5"/>
  <c r="EJ10" i="5"/>
  <c r="EK10" i="5"/>
  <c r="EL10" i="5"/>
  <c r="EM10" i="5"/>
  <c r="EN10" i="5"/>
  <c r="EO10" i="5"/>
  <c r="EP10" i="5"/>
  <c r="EQ10" i="5"/>
  <c r="ER10" i="5"/>
  <c r="ES10" i="5"/>
  <c r="ET10" i="5"/>
  <c r="EU10" i="5"/>
  <c r="EV10" i="5"/>
  <c r="EW10" i="5"/>
  <c r="EX10" i="5"/>
  <c r="EY10" i="5"/>
  <c r="EZ10" i="5"/>
  <c r="FA10" i="5"/>
  <c r="FB10" i="5"/>
  <c r="FC10" i="5"/>
  <c r="FD10" i="5"/>
  <c r="FE10" i="5"/>
  <c r="FF10" i="5"/>
  <c r="FG10" i="5"/>
  <c r="FH10" i="5"/>
  <c r="FI10" i="5"/>
  <c r="FJ10" i="5"/>
  <c r="FK10" i="5"/>
  <c r="FL10" i="5"/>
  <c r="FM10" i="5"/>
  <c r="FN10" i="5"/>
  <c r="FO10" i="5"/>
  <c r="FP10" i="5"/>
  <c r="FQ10" i="5"/>
  <c r="FR10" i="5"/>
  <c r="FS10" i="5"/>
  <c r="FT10" i="5"/>
  <c r="FU10" i="5"/>
  <c r="FV10" i="5"/>
  <c r="FW10" i="5"/>
  <c r="FX10" i="5"/>
  <c r="FY10" i="5"/>
  <c r="FZ10" i="5"/>
  <c r="GA10" i="5"/>
  <c r="GB10" i="5"/>
  <c r="GC10" i="5"/>
  <c r="GD10" i="5"/>
  <c r="GE10" i="5"/>
  <c r="GF10" i="5"/>
  <c r="GG10" i="5"/>
  <c r="GH10" i="5"/>
  <c r="GI10" i="5"/>
  <c r="GJ10" i="5"/>
  <c r="GK10" i="5"/>
  <c r="GL10" i="5"/>
  <c r="GM10" i="5"/>
  <c r="GN10" i="5"/>
  <c r="GO10" i="5"/>
  <c r="GP10" i="5"/>
  <c r="GQ10" i="5"/>
  <c r="GR10" i="5"/>
  <c r="GS10" i="5"/>
  <c r="GT10" i="5"/>
  <c r="GU10" i="5"/>
  <c r="GV10" i="5"/>
  <c r="GW10" i="5"/>
  <c r="GX10" i="5"/>
  <c r="GY10" i="5"/>
  <c r="GZ10" i="5"/>
  <c r="HA10" i="5"/>
  <c r="HB10" i="5"/>
  <c r="HC10" i="5"/>
  <c r="HD10" i="5"/>
  <c r="HE10" i="5"/>
  <c r="HF10" i="5"/>
  <c r="HG10" i="5"/>
  <c r="HH10" i="5"/>
  <c r="HI10" i="5"/>
  <c r="HJ10" i="5"/>
  <c r="HK10" i="5"/>
  <c r="HL10" i="5"/>
  <c r="HM10" i="5"/>
  <c r="HN10" i="5"/>
  <c r="HO10" i="5"/>
  <c r="HP10" i="5"/>
  <c r="HQ10" i="5"/>
  <c r="HR10" i="5"/>
  <c r="HS10" i="5"/>
  <c r="HT10" i="5"/>
  <c r="HU10" i="5"/>
  <c r="HV10" i="5"/>
  <c r="HW10" i="5"/>
  <c r="HX10" i="5"/>
  <c r="HY10" i="5"/>
  <c r="HZ10" i="5"/>
  <c r="IA10" i="5"/>
  <c r="IB10" i="5"/>
  <c r="IC10" i="5"/>
  <c r="ID10" i="5"/>
  <c r="IE10" i="5"/>
  <c r="IF10" i="5"/>
  <c r="IG10" i="5"/>
  <c r="IH10" i="5"/>
  <c r="II10" i="5"/>
  <c r="IJ10" i="5"/>
  <c r="IK10" i="5"/>
  <c r="IL10" i="5"/>
  <c r="IM10" i="5"/>
  <c r="IN10" i="5"/>
  <c r="IO10" i="5"/>
  <c r="IP10" i="5"/>
  <c r="IQ10" i="5"/>
  <c r="IR10" i="5"/>
  <c r="IS10" i="5"/>
  <c r="IT10" i="5"/>
  <c r="IU10" i="5"/>
  <c r="IV10" i="5"/>
  <c r="A9" i="5"/>
  <c r="B9" i="5"/>
  <c r="C9" i="5"/>
  <c r="D9" i="5"/>
  <c r="E9" i="5"/>
  <c r="F9" i="5"/>
  <c r="G9" i="5"/>
  <c r="H9" i="5"/>
  <c r="I9" i="5"/>
  <c r="J9" i="5"/>
  <c r="K9" i="5"/>
  <c r="L9" i="5"/>
  <c r="M9" i="5"/>
  <c r="N9" i="5"/>
  <c r="O9" i="5"/>
  <c r="P9" i="5"/>
  <c r="Q9" i="5"/>
  <c r="R9" i="5"/>
  <c r="S9" i="5"/>
  <c r="T9" i="5"/>
  <c r="U9" i="5"/>
  <c r="V9" i="5"/>
  <c r="X9" i="5"/>
  <c r="Y9" i="5"/>
  <c r="Z9" i="5"/>
  <c r="AA9" i="5"/>
  <c r="AB9" i="5"/>
  <c r="AC9" i="5"/>
  <c r="AD9" i="5"/>
  <c r="AE9" i="5"/>
  <c r="AF9" i="5"/>
  <c r="AG9" i="5"/>
  <c r="AH9" i="5"/>
  <c r="AI9" i="5"/>
  <c r="AJ9" i="5"/>
  <c r="AK9" i="5"/>
  <c r="AL9" i="5"/>
  <c r="AM9" i="5"/>
  <c r="AN9" i="5"/>
  <c r="AO9" i="5"/>
  <c r="AP9" i="5"/>
  <c r="AQ9" i="5"/>
  <c r="AR9" i="5"/>
  <c r="AS9" i="5"/>
  <c r="AT9" i="5"/>
  <c r="AU9" i="5"/>
  <c r="AV9" i="5"/>
  <c r="AW9" i="5"/>
  <c r="AX9" i="5"/>
  <c r="AY9" i="5"/>
  <c r="AZ9" i="5"/>
  <c r="BA9" i="5"/>
  <c r="BB9" i="5"/>
  <c r="BC9" i="5"/>
  <c r="BD9" i="5"/>
  <c r="BE9" i="5"/>
  <c r="BF9" i="5"/>
  <c r="BG9" i="5"/>
  <c r="BH9" i="5"/>
  <c r="BI9" i="5"/>
  <c r="BJ9" i="5"/>
  <c r="BK9" i="5"/>
  <c r="BL9" i="5"/>
  <c r="BM9" i="5"/>
  <c r="BN9" i="5"/>
  <c r="BO9" i="5"/>
  <c r="BP9" i="5"/>
  <c r="BQ9" i="5"/>
  <c r="BR9" i="5"/>
  <c r="BS9" i="5"/>
  <c r="BT9" i="5"/>
  <c r="BU9" i="5"/>
  <c r="BV9" i="5"/>
  <c r="BW9" i="5"/>
  <c r="BX9" i="5"/>
  <c r="BY9" i="5"/>
  <c r="BZ9" i="5"/>
  <c r="CA9" i="5"/>
  <c r="CB9" i="5"/>
  <c r="CC9" i="5"/>
  <c r="CD9" i="5"/>
  <c r="CE9" i="5"/>
  <c r="CF9" i="5"/>
  <c r="CG9" i="5"/>
  <c r="CH9" i="5"/>
  <c r="CI9" i="5"/>
  <c r="CJ9" i="5"/>
  <c r="CK9" i="5"/>
  <c r="CL9" i="5"/>
  <c r="CM9" i="5"/>
  <c r="CN9" i="5"/>
  <c r="CO9" i="5"/>
  <c r="CP9" i="5"/>
  <c r="CQ9" i="5"/>
  <c r="CR9" i="5"/>
  <c r="CS9" i="5"/>
  <c r="CT9" i="5"/>
  <c r="CU9" i="5"/>
  <c r="CV9" i="5"/>
  <c r="CW9" i="5"/>
  <c r="CX9" i="5"/>
  <c r="CY9" i="5"/>
  <c r="CZ9" i="5"/>
  <c r="DA9" i="5"/>
  <c r="DB9" i="5"/>
  <c r="DC9" i="5"/>
  <c r="DD9" i="5"/>
  <c r="DE9" i="5"/>
  <c r="DF9" i="5"/>
  <c r="DG9" i="5"/>
  <c r="DH9" i="5"/>
  <c r="DI9" i="5"/>
  <c r="DJ9" i="5"/>
  <c r="DK9" i="5"/>
  <c r="DL9" i="5"/>
  <c r="DM9" i="5"/>
  <c r="DN9" i="5"/>
  <c r="DO9" i="5"/>
  <c r="DP9" i="5"/>
  <c r="DQ9" i="5"/>
  <c r="DR9" i="5"/>
  <c r="DS9" i="5"/>
  <c r="DT9" i="5"/>
  <c r="DU9" i="5"/>
  <c r="DV9" i="5"/>
  <c r="DW9" i="5"/>
  <c r="DX9" i="5"/>
  <c r="DY9" i="5"/>
  <c r="DZ9" i="5"/>
  <c r="EA9" i="5"/>
  <c r="EB9" i="5"/>
  <c r="EC9" i="5"/>
  <c r="ED9" i="5"/>
  <c r="EE9" i="5"/>
  <c r="EF9" i="5"/>
  <c r="EG9" i="5"/>
  <c r="EH9" i="5"/>
  <c r="EI9" i="5"/>
  <c r="EJ9" i="5"/>
  <c r="EK9" i="5"/>
  <c r="EL9" i="5"/>
  <c r="EM9" i="5"/>
  <c r="EN9" i="5"/>
  <c r="EO9" i="5"/>
  <c r="EP9" i="5"/>
  <c r="EQ9" i="5"/>
  <c r="ER9" i="5"/>
  <c r="ES9" i="5"/>
  <c r="ET9" i="5"/>
  <c r="EU9" i="5"/>
  <c r="EV9" i="5"/>
  <c r="EW9" i="5"/>
  <c r="EX9" i="5"/>
  <c r="EY9" i="5"/>
  <c r="EZ9" i="5"/>
  <c r="FA9" i="5"/>
  <c r="FB9" i="5"/>
  <c r="FC9" i="5"/>
  <c r="FD9" i="5"/>
  <c r="FE9" i="5"/>
  <c r="FF9" i="5"/>
  <c r="FG9" i="5"/>
  <c r="FH9" i="5"/>
  <c r="FI9" i="5"/>
  <c r="FJ9" i="5"/>
  <c r="FK9" i="5"/>
  <c r="FL9" i="5"/>
  <c r="FM9" i="5"/>
  <c r="FN9" i="5"/>
  <c r="FO9" i="5"/>
  <c r="FP9" i="5"/>
  <c r="FQ9" i="5"/>
  <c r="FR9" i="5"/>
  <c r="FS9" i="5"/>
  <c r="FT9" i="5"/>
  <c r="FU9" i="5"/>
  <c r="FV9" i="5"/>
  <c r="FW9" i="5"/>
  <c r="FX9" i="5"/>
  <c r="FY9" i="5"/>
  <c r="FZ9" i="5"/>
  <c r="GA9" i="5"/>
  <c r="GB9" i="5"/>
  <c r="GC9" i="5"/>
  <c r="GD9" i="5"/>
  <c r="GE9" i="5"/>
  <c r="GF9" i="5"/>
  <c r="GG9" i="5"/>
  <c r="GH9" i="5"/>
  <c r="GI9" i="5"/>
  <c r="GJ9" i="5"/>
  <c r="GK9" i="5"/>
  <c r="GL9" i="5"/>
  <c r="GM9" i="5"/>
  <c r="GN9" i="5"/>
  <c r="GO9" i="5"/>
  <c r="GP9" i="5"/>
  <c r="GQ9" i="5"/>
  <c r="GR9" i="5"/>
  <c r="GS9" i="5"/>
  <c r="GT9" i="5"/>
  <c r="GU9" i="5"/>
  <c r="GV9" i="5"/>
  <c r="GW9" i="5"/>
  <c r="GX9" i="5"/>
  <c r="GY9" i="5"/>
  <c r="GZ9" i="5"/>
  <c r="HA9" i="5"/>
  <c r="HB9" i="5"/>
  <c r="HC9" i="5"/>
  <c r="HD9" i="5"/>
  <c r="HE9" i="5"/>
  <c r="HF9" i="5"/>
  <c r="HG9" i="5"/>
  <c r="HH9" i="5"/>
  <c r="HI9" i="5"/>
  <c r="HJ9" i="5"/>
  <c r="HK9" i="5"/>
  <c r="HL9" i="5"/>
  <c r="HM9" i="5"/>
  <c r="HN9" i="5"/>
  <c r="HO9" i="5"/>
  <c r="HP9" i="5"/>
  <c r="HQ9" i="5"/>
  <c r="HR9" i="5"/>
  <c r="HS9" i="5"/>
  <c r="HT9" i="5"/>
  <c r="HU9" i="5"/>
  <c r="HV9" i="5"/>
  <c r="HW9" i="5"/>
  <c r="HX9" i="5"/>
  <c r="HY9" i="5"/>
  <c r="HZ9" i="5"/>
  <c r="IA9" i="5"/>
  <c r="IB9" i="5"/>
  <c r="IC9" i="5"/>
  <c r="ID9" i="5"/>
  <c r="IE9" i="5"/>
  <c r="IF9" i="5"/>
  <c r="IG9" i="5"/>
  <c r="IH9" i="5"/>
  <c r="II9" i="5"/>
  <c r="IJ9" i="5"/>
  <c r="IK9" i="5"/>
  <c r="IL9" i="5"/>
  <c r="IM9" i="5"/>
  <c r="IN9" i="5"/>
  <c r="IO9" i="5"/>
  <c r="IP9" i="5"/>
  <c r="IQ9" i="5"/>
  <c r="IR9" i="5"/>
  <c r="IS9" i="5"/>
  <c r="IT9" i="5"/>
  <c r="IU9" i="5"/>
  <c r="IV9" i="5"/>
  <c r="A8" i="5"/>
  <c r="B8" i="5"/>
  <c r="C8" i="5"/>
  <c r="D8" i="5"/>
  <c r="E8" i="5"/>
  <c r="F8" i="5"/>
  <c r="G8" i="5"/>
  <c r="H8" i="5"/>
  <c r="I8" i="5"/>
  <c r="J8" i="5"/>
  <c r="K8" i="5"/>
  <c r="L8" i="5"/>
  <c r="M8" i="5"/>
  <c r="N8" i="5"/>
  <c r="O8" i="5"/>
  <c r="P8" i="5"/>
  <c r="Q8" i="5"/>
  <c r="R8" i="5"/>
  <c r="S8" i="5"/>
  <c r="T8" i="5"/>
  <c r="U8" i="5"/>
  <c r="V8" i="5"/>
  <c r="W8" i="5"/>
  <c r="X8" i="5"/>
  <c r="Y8" i="5"/>
  <c r="Z8" i="5"/>
  <c r="AA8" i="5"/>
  <c r="AB8" i="5"/>
  <c r="AC8" i="5"/>
  <c r="AD8" i="5"/>
  <c r="AE8" i="5"/>
  <c r="AF8" i="5"/>
  <c r="AG8" i="5"/>
  <c r="AH8" i="5"/>
  <c r="AI8" i="5"/>
  <c r="AJ8" i="5"/>
  <c r="AK8" i="5"/>
  <c r="AL8" i="5"/>
  <c r="AM8" i="5"/>
  <c r="AN8" i="5"/>
  <c r="AO8" i="5"/>
  <c r="AP8" i="5"/>
  <c r="AQ8" i="5"/>
  <c r="AR8" i="5"/>
  <c r="AS8" i="5"/>
  <c r="AT8" i="5"/>
  <c r="AU8" i="5"/>
  <c r="AV8" i="5"/>
  <c r="AW8" i="5"/>
  <c r="AX8" i="5"/>
  <c r="AY8" i="5"/>
  <c r="AZ8" i="5"/>
  <c r="BA8" i="5"/>
  <c r="BB8" i="5"/>
  <c r="BC8" i="5"/>
  <c r="BD8" i="5"/>
  <c r="BE8" i="5"/>
  <c r="BF8" i="5"/>
  <c r="BG8" i="5"/>
  <c r="BH8" i="5"/>
  <c r="BI8" i="5"/>
  <c r="BJ8" i="5"/>
  <c r="BK8" i="5"/>
  <c r="BL8" i="5"/>
  <c r="BM8" i="5"/>
  <c r="BN8" i="5"/>
  <c r="BO8" i="5"/>
  <c r="BP8" i="5"/>
  <c r="BQ8" i="5"/>
  <c r="BR8" i="5"/>
  <c r="BS8" i="5"/>
  <c r="BT8" i="5"/>
  <c r="BU8" i="5"/>
  <c r="BV8" i="5"/>
  <c r="BW8" i="5"/>
  <c r="BX8" i="5"/>
  <c r="BY8" i="5"/>
  <c r="BZ8" i="5"/>
  <c r="CA8" i="5"/>
  <c r="CB8" i="5"/>
  <c r="CC8" i="5"/>
  <c r="CD8" i="5"/>
  <c r="CE8" i="5"/>
  <c r="CF8" i="5"/>
  <c r="CG8" i="5"/>
  <c r="CH8" i="5"/>
  <c r="CI8" i="5"/>
  <c r="CJ8" i="5"/>
  <c r="CK8" i="5"/>
  <c r="CL8" i="5"/>
  <c r="CM8" i="5"/>
  <c r="CN8" i="5"/>
  <c r="CO8" i="5"/>
  <c r="CP8" i="5"/>
  <c r="CQ8" i="5"/>
  <c r="CR8" i="5"/>
  <c r="CS8" i="5"/>
  <c r="CT8" i="5"/>
  <c r="CU8" i="5"/>
  <c r="CV8" i="5"/>
  <c r="CW8" i="5"/>
  <c r="CX8" i="5"/>
  <c r="CY8" i="5"/>
  <c r="CZ8" i="5"/>
  <c r="DA8" i="5"/>
  <c r="DB8" i="5"/>
  <c r="DC8" i="5"/>
  <c r="DD8" i="5"/>
  <c r="DE8" i="5"/>
  <c r="DF8" i="5"/>
  <c r="DG8" i="5"/>
  <c r="DH8" i="5"/>
  <c r="DI8" i="5"/>
  <c r="DJ8" i="5"/>
  <c r="DK8" i="5"/>
  <c r="DL8" i="5"/>
  <c r="DM8" i="5"/>
  <c r="DN8" i="5"/>
  <c r="DO8" i="5"/>
  <c r="DP8" i="5"/>
  <c r="DQ8" i="5"/>
  <c r="DR8" i="5"/>
  <c r="DS8" i="5"/>
  <c r="DT8" i="5"/>
  <c r="DU8" i="5"/>
  <c r="DV8" i="5"/>
  <c r="DW8" i="5"/>
  <c r="DX8" i="5"/>
  <c r="DY8" i="5"/>
  <c r="DZ8" i="5"/>
  <c r="EA8" i="5"/>
  <c r="EB8" i="5"/>
  <c r="EC8" i="5"/>
  <c r="ED8" i="5"/>
  <c r="EE8" i="5"/>
  <c r="EF8" i="5"/>
  <c r="EG8" i="5"/>
  <c r="EH8" i="5"/>
  <c r="EI8" i="5"/>
  <c r="EJ8" i="5"/>
  <c r="EK8" i="5"/>
  <c r="EL8" i="5"/>
  <c r="EM8" i="5"/>
  <c r="EN8" i="5"/>
  <c r="EO8" i="5"/>
  <c r="EP8" i="5"/>
  <c r="EQ8" i="5"/>
  <c r="ER8" i="5"/>
  <c r="ES8" i="5"/>
  <c r="ET8" i="5"/>
  <c r="EU8" i="5"/>
  <c r="EV8" i="5"/>
  <c r="EW8" i="5"/>
  <c r="EX8" i="5"/>
  <c r="EY8" i="5"/>
  <c r="EZ8" i="5"/>
  <c r="FA8" i="5"/>
  <c r="FB8" i="5"/>
  <c r="FC8" i="5"/>
  <c r="FD8" i="5"/>
  <c r="FE8" i="5"/>
  <c r="FF8" i="5"/>
  <c r="FG8" i="5"/>
  <c r="FH8" i="5"/>
  <c r="FI8" i="5"/>
  <c r="FJ8" i="5"/>
  <c r="FK8" i="5"/>
  <c r="FL8" i="5"/>
  <c r="FM8" i="5"/>
  <c r="FN8" i="5"/>
  <c r="FO8" i="5"/>
  <c r="FP8" i="5"/>
  <c r="FQ8" i="5"/>
  <c r="FR8" i="5"/>
  <c r="FS8" i="5"/>
  <c r="FT8" i="5"/>
  <c r="FU8" i="5"/>
  <c r="FV8" i="5"/>
  <c r="FW8" i="5"/>
  <c r="FX8" i="5"/>
  <c r="FY8" i="5"/>
  <c r="FZ8" i="5"/>
  <c r="GA8" i="5"/>
  <c r="GB8" i="5"/>
  <c r="GC8" i="5"/>
  <c r="GD8" i="5"/>
  <c r="GE8" i="5"/>
  <c r="GF8" i="5"/>
  <c r="GG8" i="5"/>
  <c r="GH8" i="5"/>
  <c r="GI8" i="5"/>
  <c r="GJ8" i="5"/>
  <c r="GK8" i="5"/>
  <c r="GL8" i="5"/>
  <c r="GM8" i="5"/>
  <c r="GN8" i="5"/>
  <c r="GO8" i="5"/>
  <c r="GP8" i="5"/>
  <c r="GQ8" i="5"/>
  <c r="GR8" i="5"/>
  <c r="GS8" i="5"/>
  <c r="GT8" i="5"/>
  <c r="GU8" i="5"/>
  <c r="GV8" i="5"/>
  <c r="GW8" i="5"/>
  <c r="GX8" i="5"/>
  <c r="GY8" i="5"/>
  <c r="GZ8" i="5"/>
  <c r="HA8" i="5"/>
  <c r="HB8" i="5"/>
  <c r="HC8" i="5"/>
  <c r="HD8" i="5"/>
  <c r="HE8" i="5"/>
  <c r="HF8" i="5"/>
  <c r="HG8" i="5"/>
  <c r="HH8" i="5"/>
  <c r="HI8" i="5"/>
  <c r="HJ8" i="5"/>
  <c r="HK8" i="5"/>
  <c r="HL8" i="5"/>
  <c r="HM8" i="5"/>
  <c r="HN8" i="5"/>
  <c r="HO8" i="5"/>
  <c r="HP8" i="5"/>
  <c r="HQ8" i="5"/>
  <c r="HR8" i="5"/>
  <c r="HS8" i="5"/>
  <c r="HT8" i="5"/>
  <c r="HU8" i="5"/>
  <c r="HV8" i="5"/>
  <c r="HW8" i="5"/>
  <c r="HX8" i="5"/>
  <c r="HY8" i="5"/>
  <c r="HZ8" i="5"/>
  <c r="IA8" i="5"/>
  <c r="IB8" i="5"/>
  <c r="IC8" i="5"/>
  <c r="ID8" i="5"/>
  <c r="IE8" i="5"/>
  <c r="IF8" i="5"/>
  <c r="IG8" i="5"/>
  <c r="IH8" i="5"/>
  <c r="II8" i="5"/>
  <c r="IJ8" i="5"/>
  <c r="IK8" i="5"/>
  <c r="IL8" i="5"/>
  <c r="IM8" i="5"/>
  <c r="IN8" i="5"/>
  <c r="IO8" i="5"/>
  <c r="IP8" i="5"/>
  <c r="IQ8" i="5"/>
  <c r="IR8" i="5"/>
  <c r="IS8" i="5"/>
  <c r="IT8" i="5"/>
  <c r="IU8" i="5"/>
  <c r="IV8" i="5"/>
  <c r="A7" i="5"/>
  <c r="B7" i="5"/>
  <c r="C7" i="5"/>
  <c r="D7" i="5"/>
  <c r="E7" i="5"/>
  <c r="F7" i="5"/>
  <c r="G7" i="5"/>
  <c r="H7" i="5"/>
  <c r="I7" i="5"/>
  <c r="J7" i="5"/>
  <c r="K7" i="5"/>
  <c r="L7" i="5"/>
  <c r="M7" i="5"/>
  <c r="N7" i="5"/>
  <c r="O7" i="5"/>
  <c r="P7" i="5"/>
  <c r="Q7" i="5"/>
  <c r="R7" i="5"/>
  <c r="S7" i="5"/>
  <c r="T7" i="5"/>
  <c r="U7" i="5"/>
  <c r="V7" i="5"/>
  <c r="W7" i="5"/>
  <c r="X7" i="5"/>
  <c r="Y7" i="5"/>
  <c r="Z7" i="5"/>
  <c r="AA7" i="5"/>
  <c r="AB7" i="5"/>
  <c r="AC7" i="5"/>
  <c r="AD7" i="5"/>
  <c r="AE7" i="5"/>
  <c r="AF7" i="5"/>
  <c r="AG7" i="5"/>
  <c r="AH7" i="5"/>
  <c r="AI7" i="5"/>
  <c r="AJ7" i="5"/>
  <c r="AK7" i="5"/>
  <c r="AL7" i="5"/>
  <c r="AM7" i="5"/>
  <c r="AN7" i="5"/>
  <c r="AO7" i="5"/>
  <c r="AP7" i="5"/>
  <c r="AQ7" i="5"/>
  <c r="AR7" i="5"/>
  <c r="AS7" i="5"/>
  <c r="AT7" i="5"/>
  <c r="AU7" i="5"/>
  <c r="AV7" i="5"/>
  <c r="AW7" i="5"/>
  <c r="AX7" i="5"/>
  <c r="AY7" i="5"/>
  <c r="AZ7" i="5"/>
  <c r="BA7" i="5"/>
  <c r="BB7" i="5"/>
  <c r="BC7" i="5"/>
  <c r="BD7" i="5"/>
  <c r="BE7" i="5"/>
  <c r="BF7" i="5"/>
  <c r="BG7" i="5"/>
  <c r="BH7" i="5"/>
  <c r="BI7" i="5"/>
  <c r="BJ7" i="5"/>
  <c r="BK7" i="5"/>
  <c r="BL7" i="5"/>
  <c r="BM7" i="5"/>
  <c r="BN7" i="5"/>
  <c r="BO7" i="5"/>
  <c r="BP7" i="5"/>
  <c r="BQ7" i="5"/>
  <c r="BR7" i="5"/>
  <c r="BS7" i="5"/>
  <c r="BT7" i="5"/>
  <c r="BU7" i="5"/>
  <c r="BV7" i="5"/>
  <c r="BW7" i="5"/>
  <c r="BX7" i="5"/>
  <c r="BY7" i="5"/>
  <c r="BZ7" i="5"/>
  <c r="CA7" i="5"/>
  <c r="CB7" i="5"/>
  <c r="CC7" i="5"/>
  <c r="CD7" i="5"/>
  <c r="CE7" i="5"/>
  <c r="CF7" i="5"/>
  <c r="CG7" i="5"/>
  <c r="CH7" i="5"/>
  <c r="CI7" i="5"/>
  <c r="CJ7" i="5"/>
  <c r="CK7" i="5"/>
  <c r="CL7" i="5"/>
  <c r="CM7" i="5"/>
  <c r="CN7" i="5"/>
  <c r="CO7" i="5"/>
  <c r="CP7" i="5"/>
  <c r="CQ7" i="5"/>
  <c r="CR7" i="5"/>
  <c r="CS7" i="5"/>
  <c r="CT7" i="5"/>
  <c r="CU7" i="5"/>
  <c r="CV7" i="5"/>
  <c r="CW7" i="5"/>
  <c r="CX7" i="5"/>
  <c r="CY7" i="5"/>
  <c r="CZ7" i="5"/>
  <c r="DA7" i="5"/>
  <c r="DB7" i="5"/>
  <c r="DC7" i="5"/>
  <c r="DD7" i="5"/>
  <c r="DE7" i="5"/>
  <c r="DF7" i="5"/>
  <c r="DG7" i="5"/>
  <c r="DH7" i="5"/>
  <c r="DI7" i="5"/>
  <c r="DJ7" i="5"/>
  <c r="DK7" i="5"/>
  <c r="DL7" i="5"/>
  <c r="DM7" i="5"/>
  <c r="DN7" i="5"/>
  <c r="DO7" i="5"/>
  <c r="DP7" i="5"/>
  <c r="DQ7" i="5"/>
  <c r="DR7" i="5"/>
  <c r="DS7" i="5"/>
  <c r="DT7" i="5"/>
  <c r="DU7" i="5"/>
  <c r="DV7" i="5"/>
  <c r="DW7" i="5"/>
  <c r="DX7" i="5"/>
  <c r="DY7" i="5"/>
  <c r="DZ7" i="5"/>
  <c r="EA7" i="5"/>
  <c r="EB7" i="5"/>
  <c r="EC7" i="5"/>
  <c r="ED7" i="5"/>
  <c r="EE7" i="5"/>
  <c r="EF7" i="5"/>
  <c r="EG7" i="5"/>
  <c r="EH7" i="5"/>
  <c r="EI7" i="5"/>
  <c r="EJ7" i="5"/>
  <c r="EK7" i="5"/>
  <c r="EL7" i="5"/>
  <c r="EM7" i="5"/>
  <c r="EN7" i="5"/>
  <c r="EO7" i="5"/>
  <c r="EP7" i="5"/>
  <c r="EQ7" i="5"/>
  <c r="ER7" i="5"/>
  <c r="ES7" i="5"/>
  <c r="ET7" i="5"/>
  <c r="EU7" i="5"/>
  <c r="EV7" i="5"/>
  <c r="EW7" i="5"/>
  <c r="EX7" i="5"/>
  <c r="EY7" i="5"/>
  <c r="EZ7" i="5"/>
  <c r="FA7" i="5"/>
  <c r="FB7" i="5"/>
  <c r="FC7" i="5"/>
  <c r="FD7" i="5"/>
  <c r="FE7" i="5"/>
  <c r="FF7" i="5"/>
  <c r="FG7" i="5"/>
  <c r="FH7" i="5"/>
  <c r="FI7" i="5"/>
  <c r="FJ7" i="5"/>
  <c r="FK7" i="5"/>
  <c r="FL7" i="5"/>
  <c r="FM7" i="5"/>
  <c r="FN7" i="5"/>
  <c r="FO7" i="5"/>
  <c r="FP7" i="5"/>
  <c r="FQ7" i="5"/>
  <c r="FR7" i="5"/>
  <c r="FS7" i="5"/>
  <c r="FT7" i="5"/>
  <c r="FU7" i="5"/>
  <c r="FV7" i="5"/>
  <c r="FW7" i="5"/>
  <c r="FX7" i="5"/>
  <c r="FY7" i="5"/>
  <c r="FZ7" i="5"/>
  <c r="GA7" i="5"/>
  <c r="GB7" i="5"/>
  <c r="GC7" i="5"/>
  <c r="GD7" i="5"/>
  <c r="GE7" i="5"/>
  <c r="GF7" i="5"/>
  <c r="GG7" i="5"/>
  <c r="GH7" i="5"/>
  <c r="GI7" i="5"/>
  <c r="GJ7" i="5"/>
  <c r="GK7" i="5"/>
  <c r="GL7" i="5"/>
  <c r="GM7" i="5"/>
  <c r="GN7" i="5"/>
  <c r="GO7" i="5"/>
  <c r="GP7" i="5"/>
  <c r="GQ7" i="5"/>
  <c r="GR7" i="5"/>
  <c r="GS7" i="5"/>
  <c r="GT7" i="5"/>
  <c r="GU7" i="5"/>
  <c r="GV7" i="5"/>
  <c r="GW7" i="5"/>
  <c r="GX7" i="5"/>
  <c r="GY7" i="5"/>
  <c r="GZ7" i="5"/>
  <c r="HA7" i="5"/>
  <c r="HB7" i="5"/>
  <c r="HC7" i="5"/>
  <c r="HD7" i="5"/>
  <c r="HE7" i="5"/>
  <c r="HF7" i="5"/>
  <c r="HG7" i="5"/>
  <c r="HH7" i="5"/>
  <c r="HI7" i="5"/>
  <c r="HJ7" i="5"/>
  <c r="HK7" i="5"/>
  <c r="HL7" i="5"/>
  <c r="HM7" i="5"/>
  <c r="HN7" i="5"/>
  <c r="HO7" i="5"/>
  <c r="HP7" i="5"/>
  <c r="HQ7" i="5"/>
  <c r="HR7" i="5"/>
  <c r="HS7" i="5"/>
  <c r="HT7" i="5"/>
  <c r="HU7" i="5"/>
  <c r="HV7" i="5"/>
  <c r="HW7" i="5"/>
  <c r="HX7" i="5"/>
  <c r="HY7" i="5"/>
  <c r="HZ7" i="5"/>
  <c r="IA7" i="5"/>
  <c r="IB7" i="5"/>
  <c r="IC7" i="5"/>
  <c r="ID7" i="5"/>
  <c r="IE7" i="5"/>
  <c r="IF7" i="5"/>
  <c r="IG7" i="5"/>
  <c r="IH7" i="5"/>
  <c r="II7" i="5"/>
  <c r="IJ7" i="5"/>
  <c r="IK7" i="5"/>
  <c r="IL7" i="5"/>
  <c r="IM7" i="5"/>
  <c r="IN7" i="5"/>
  <c r="IO7" i="5"/>
  <c r="IP7" i="5"/>
  <c r="IQ7" i="5"/>
  <c r="IR7" i="5"/>
  <c r="IS7" i="5"/>
  <c r="IT7" i="5"/>
  <c r="IU7" i="5"/>
  <c r="IV7" i="5"/>
  <c r="A6" i="5"/>
  <c r="B6" i="5"/>
  <c r="C6" i="5"/>
  <c r="D6" i="5"/>
  <c r="E6" i="5"/>
  <c r="F6" i="5"/>
  <c r="G6" i="5"/>
  <c r="H6" i="5"/>
  <c r="I6" i="5"/>
  <c r="J6" i="5"/>
  <c r="K6" i="5"/>
  <c r="L6" i="5"/>
  <c r="M6" i="5"/>
  <c r="N6" i="5"/>
  <c r="O6" i="5"/>
  <c r="P6" i="5"/>
  <c r="Q6" i="5"/>
  <c r="R6" i="5"/>
  <c r="S6" i="5"/>
  <c r="T6" i="5"/>
  <c r="U6" i="5"/>
  <c r="V6" i="5"/>
  <c r="W6" i="5"/>
  <c r="X6" i="5"/>
  <c r="Y6" i="5"/>
  <c r="Z6" i="5"/>
  <c r="AA6" i="5"/>
  <c r="AB6" i="5"/>
  <c r="AC6" i="5"/>
  <c r="AD6" i="5"/>
  <c r="AE6" i="5"/>
  <c r="AF6" i="5"/>
  <c r="AG6" i="5"/>
  <c r="AH6" i="5"/>
  <c r="AI6" i="5"/>
  <c r="AJ6" i="5"/>
  <c r="AK6" i="5"/>
  <c r="AL6" i="5"/>
  <c r="AM6" i="5"/>
  <c r="AN6" i="5"/>
  <c r="AO6" i="5"/>
  <c r="AP6" i="5"/>
  <c r="AQ6" i="5"/>
  <c r="AR6" i="5"/>
  <c r="AS6" i="5"/>
  <c r="AT6" i="5"/>
  <c r="AU6" i="5"/>
  <c r="AV6" i="5"/>
  <c r="AW6" i="5"/>
  <c r="AX6" i="5"/>
  <c r="AY6" i="5"/>
  <c r="AZ6" i="5"/>
  <c r="BA6" i="5"/>
  <c r="BB6" i="5"/>
  <c r="BC6" i="5"/>
  <c r="BD6" i="5"/>
  <c r="BE6" i="5"/>
  <c r="BF6" i="5"/>
  <c r="BG6" i="5"/>
  <c r="BH6" i="5"/>
  <c r="BI6" i="5"/>
  <c r="BJ6" i="5"/>
  <c r="BK6" i="5"/>
  <c r="BL6" i="5"/>
  <c r="BM6" i="5"/>
  <c r="BN6" i="5"/>
  <c r="BO6" i="5"/>
  <c r="BP6" i="5"/>
  <c r="BQ6" i="5"/>
  <c r="BR6" i="5"/>
  <c r="BS6" i="5"/>
  <c r="BT6" i="5"/>
  <c r="BU6" i="5"/>
  <c r="BV6" i="5"/>
  <c r="BW6" i="5"/>
  <c r="BX6" i="5"/>
  <c r="BY6" i="5"/>
  <c r="BZ6" i="5"/>
  <c r="CA6" i="5"/>
  <c r="CB6" i="5"/>
  <c r="CC6" i="5"/>
  <c r="CD6" i="5"/>
  <c r="CE6" i="5"/>
  <c r="CF6" i="5"/>
  <c r="CG6" i="5"/>
  <c r="CH6" i="5"/>
  <c r="CI6" i="5"/>
  <c r="CJ6" i="5"/>
  <c r="CK6" i="5"/>
  <c r="CL6" i="5"/>
  <c r="CM6" i="5"/>
  <c r="CN6" i="5"/>
  <c r="CO6" i="5"/>
  <c r="CP6" i="5"/>
  <c r="CQ6" i="5"/>
  <c r="CR6" i="5"/>
  <c r="CS6" i="5"/>
  <c r="CT6" i="5"/>
  <c r="CU6" i="5"/>
  <c r="CV6" i="5"/>
  <c r="CW6" i="5"/>
  <c r="CX6" i="5"/>
  <c r="CY6" i="5"/>
  <c r="CZ6" i="5"/>
  <c r="DA6" i="5"/>
  <c r="DB6" i="5"/>
  <c r="DC6" i="5"/>
  <c r="DD6" i="5"/>
  <c r="DE6" i="5"/>
  <c r="DF6" i="5"/>
  <c r="DG6" i="5"/>
  <c r="DH6" i="5"/>
  <c r="DI6" i="5"/>
  <c r="DJ6" i="5"/>
  <c r="DK6" i="5"/>
  <c r="DL6" i="5"/>
  <c r="DM6" i="5"/>
  <c r="DN6" i="5"/>
  <c r="DO6" i="5"/>
  <c r="DP6" i="5"/>
  <c r="DQ6" i="5"/>
  <c r="DR6" i="5"/>
  <c r="DS6" i="5"/>
  <c r="DT6" i="5"/>
  <c r="DU6" i="5"/>
  <c r="DV6" i="5"/>
  <c r="DW6" i="5"/>
  <c r="DX6" i="5"/>
  <c r="DY6" i="5"/>
  <c r="DZ6" i="5"/>
  <c r="EA6" i="5"/>
  <c r="EB6" i="5"/>
  <c r="EC6" i="5"/>
  <c r="ED6" i="5"/>
  <c r="EE6" i="5"/>
  <c r="EF6" i="5"/>
  <c r="EG6" i="5"/>
  <c r="EH6" i="5"/>
  <c r="EI6" i="5"/>
  <c r="EJ6" i="5"/>
  <c r="EK6" i="5"/>
  <c r="EL6" i="5"/>
  <c r="EM6" i="5"/>
  <c r="EN6" i="5"/>
  <c r="EO6" i="5"/>
  <c r="EP6" i="5"/>
  <c r="EQ6" i="5"/>
  <c r="ER6" i="5"/>
  <c r="ES6" i="5"/>
  <c r="ET6" i="5"/>
  <c r="EU6" i="5"/>
  <c r="EV6" i="5"/>
  <c r="EW6" i="5"/>
  <c r="EX6" i="5"/>
  <c r="EY6" i="5"/>
  <c r="EZ6" i="5"/>
  <c r="FA6" i="5"/>
  <c r="FB6" i="5"/>
  <c r="FC6" i="5"/>
  <c r="FD6" i="5"/>
  <c r="FE6" i="5"/>
  <c r="FF6" i="5"/>
  <c r="FG6" i="5"/>
  <c r="FH6" i="5"/>
  <c r="FI6" i="5"/>
  <c r="FJ6" i="5"/>
  <c r="FK6" i="5"/>
  <c r="FL6" i="5"/>
  <c r="FM6" i="5"/>
  <c r="FN6" i="5"/>
  <c r="FO6" i="5"/>
  <c r="FP6" i="5"/>
  <c r="FQ6" i="5"/>
  <c r="FR6" i="5"/>
  <c r="FS6" i="5"/>
  <c r="FT6" i="5"/>
  <c r="FU6" i="5"/>
  <c r="FV6" i="5"/>
  <c r="FW6" i="5"/>
  <c r="FX6" i="5"/>
  <c r="FY6" i="5"/>
  <c r="FZ6" i="5"/>
  <c r="GA6" i="5"/>
  <c r="GB6" i="5"/>
  <c r="GC6" i="5"/>
  <c r="GD6" i="5"/>
  <c r="GE6" i="5"/>
  <c r="GF6" i="5"/>
  <c r="GG6" i="5"/>
  <c r="GH6" i="5"/>
  <c r="GI6" i="5"/>
  <c r="GJ6" i="5"/>
  <c r="GK6" i="5"/>
  <c r="GL6" i="5"/>
  <c r="GM6" i="5"/>
  <c r="GN6" i="5"/>
  <c r="GO6" i="5"/>
  <c r="GP6" i="5"/>
  <c r="GQ6" i="5"/>
  <c r="GR6" i="5"/>
  <c r="GS6" i="5"/>
  <c r="GT6" i="5"/>
  <c r="GU6" i="5"/>
  <c r="GV6" i="5"/>
  <c r="GW6" i="5"/>
  <c r="GX6" i="5"/>
  <c r="GY6" i="5"/>
  <c r="GZ6" i="5"/>
  <c r="HA6" i="5"/>
  <c r="HB6" i="5"/>
  <c r="HC6" i="5"/>
  <c r="HD6" i="5"/>
  <c r="HE6" i="5"/>
  <c r="HF6" i="5"/>
  <c r="HG6" i="5"/>
  <c r="HH6" i="5"/>
  <c r="HI6" i="5"/>
  <c r="HJ6" i="5"/>
  <c r="HK6" i="5"/>
  <c r="HL6" i="5"/>
  <c r="HM6" i="5"/>
  <c r="HN6" i="5"/>
  <c r="HO6" i="5"/>
  <c r="HP6" i="5"/>
  <c r="HQ6" i="5"/>
  <c r="HR6" i="5"/>
  <c r="HS6" i="5"/>
  <c r="HT6" i="5"/>
  <c r="HU6" i="5"/>
  <c r="HV6" i="5"/>
  <c r="HW6" i="5"/>
  <c r="HX6" i="5"/>
  <c r="HY6" i="5"/>
  <c r="HZ6" i="5"/>
  <c r="IA6" i="5"/>
  <c r="IB6" i="5"/>
  <c r="IC6" i="5"/>
  <c r="ID6" i="5"/>
  <c r="IE6" i="5"/>
  <c r="IF6" i="5"/>
  <c r="IG6" i="5"/>
  <c r="IH6" i="5"/>
  <c r="II6" i="5"/>
  <c r="IJ6" i="5"/>
  <c r="IK6" i="5"/>
  <c r="IL6" i="5"/>
  <c r="IM6" i="5"/>
  <c r="IN6" i="5"/>
  <c r="IO6" i="5"/>
  <c r="IP6" i="5"/>
  <c r="IQ6" i="5"/>
  <c r="IR6" i="5"/>
  <c r="IS6" i="5"/>
  <c r="IT6" i="5"/>
  <c r="IU6" i="5"/>
  <c r="IV6" i="5"/>
  <c r="A5" i="5"/>
  <c r="B5" i="5"/>
  <c r="C5" i="5"/>
  <c r="D5" i="5"/>
  <c r="E5" i="5"/>
  <c r="F5" i="5"/>
  <c r="G5" i="5"/>
  <c r="H5" i="5"/>
  <c r="I5" i="5"/>
  <c r="J5" i="5"/>
  <c r="K5" i="5"/>
  <c r="L5" i="5"/>
  <c r="M5" i="5"/>
  <c r="N5" i="5"/>
  <c r="O5" i="5"/>
  <c r="P5" i="5"/>
  <c r="Q5" i="5"/>
  <c r="R5" i="5"/>
  <c r="S5" i="5"/>
  <c r="T5" i="5"/>
  <c r="U5" i="5"/>
  <c r="V5" i="5"/>
  <c r="W5" i="5"/>
  <c r="X5" i="5"/>
  <c r="Y5" i="5"/>
  <c r="Z5" i="5"/>
  <c r="AA5" i="5"/>
  <c r="AB5" i="5"/>
  <c r="AC5" i="5"/>
  <c r="AD5" i="5"/>
  <c r="AE5" i="5"/>
  <c r="AF5" i="5"/>
  <c r="AG5" i="5"/>
  <c r="AH5" i="5"/>
  <c r="AI5" i="5"/>
  <c r="AJ5" i="5"/>
  <c r="AK5" i="5"/>
  <c r="AL5" i="5"/>
  <c r="AM5" i="5"/>
  <c r="AN5" i="5"/>
  <c r="AO5" i="5"/>
  <c r="AP5" i="5"/>
  <c r="AQ5" i="5"/>
  <c r="AR5" i="5"/>
  <c r="AS5" i="5"/>
  <c r="AT5" i="5"/>
  <c r="AU5" i="5"/>
  <c r="AV5" i="5"/>
  <c r="AW5" i="5"/>
  <c r="AX5" i="5"/>
  <c r="AY5" i="5"/>
  <c r="AZ5" i="5"/>
  <c r="BA5" i="5"/>
  <c r="BB5" i="5"/>
  <c r="BC5" i="5"/>
  <c r="BD5" i="5"/>
  <c r="BE5" i="5"/>
  <c r="BF5" i="5"/>
  <c r="BG5" i="5"/>
  <c r="BH5" i="5"/>
  <c r="BI5" i="5"/>
  <c r="BJ5" i="5"/>
  <c r="BK5" i="5"/>
  <c r="BL5" i="5"/>
  <c r="BM5" i="5"/>
  <c r="BN5" i="5"/>
  <c r="BO5" i="5"/>
  <c r="BP5" i="5"/>
  <c r="BQ5" i="5"/>
  <c r="BR5" i="5"/>
  <c r="BS5" i="5"/>
  <c r="BT5" i="5"/>
  <c r="BU5" i="5"/>
  <c r="BV5" i="5"/>
  <c r="BW5" i="5"/>
  <c r="BX5" i="5"/>
  <c r="BY5" i="5"/>
  <c r="BZ5" i="5"/>
  <c r="CA5" i="5"/>
  <c r="CB5" i="5"/>
  <c r="CC5" i="5"/>
  <c r="CD5" i="5"/>
  <c r="CE5" i="5"/>
  <c r="CF5" i="5"/>
  <c r="CG5" i="5"/>
  <c r="CH5" i="5"/>
  <c r="CI5" i="5"/>
  <c r="CJ5" i="5"/>
  <c r="CK5" i="5"/>
  <c r="CL5" i="5"/>
  <c r="CM5" i="5"/>
  <c r="CN5" i="5"/>
  <c r="CO5" i="5"/>
  <c r="CP5" i="5"/>
  <c r="CQ5" i="5"/>
  <c r="CR5" i="5"/>
  <c r="CS5" i="5"/>
  <c r="CT5" i="5"/>
  <c r="CU5" i="5"/>
  <c r="CV5" i="5"/>
  <c r="CW5" i="5"/>
  <c r="CX5" i="5"/>
  <c r="CY5" i="5"/>
  <c r="CZ5" i="5"/>
  <c r="DA5" i="5"/>
  <c r="DB5" i="5"/>
  <c r="DC5" i="5"/>
  <c r="DD5" i="5"/>
  <c r="DE5" i="5"/>
  <c r="DF5" i="5"/>
  <c r="DG5" i="5"/>
  <c r="DH5" i="5"/>
  <c r="DI5" i="5"/>
  <c r="DJ5" i="5"/>
  <c r="DK5" i="5"/>
  <c r="DL5" i="5"/>
  <c r="DM5" i="5"/>
  <c r="DN5" i="5"/>
  <c r="DO5" i="5"/>
  <c r="DP5" i="5"/>
  <c r="DQ5" i="5"/>
  <c r="DR5" i="5"/>
  <c r="DS5" i="5"/>
  <c r="DT5" i="5"/>
  <c r="DU5" i="5"/>
  <c r="DV5" i="5"/>
  <c r="DW5" i="5"/>
  <c r="DX5" i="5"/>
  <c r="DY5" i="5"/>
  <c r="DZ5" i="5"/>
  <c r="EA5" i="5"/>
  <c r="EB5" i="5"/>
  <c r="EC5" i="5"/>
  <c r="ED5" i="5"/>
  <c r="EE5" i="5"/>
  <c r="EF5" i="5"/>
  <c r="EG5" i="5"/>
  <c r="EH5" i="5"/>
  <c r="EI5" i="5"/>
  <c r="EJ5" i="5"/>
  <c r="EK5" i="5"/>
  <c r="EL5" i="5"/>
  <c r="EM5" i="5"/>
  <c r="EN5" i="5"/>
  <c r="EO5" i="5"/>
  <c r="EP5" i="5"/>
  <c r="EQ5" i="5"/>
  <c r="ER5" i="5"/>
  <c r="ES5" i="5"/>
  <c r="ET5" i="5"/>
  <c r="EU5" i="5"/>
  <c r="EV5" i="5"/>
  <c r="EW5" i="5"/>
  <c r="EX5" i="5"/>
  <c r="EY5" i="5"/>
  <c r="EZ5" i="5"/>
  <c r="FA5" i="5"/>
  <c r="FB5" i="5"/>
  <c r="FC5" i="5"/>
  <c r="FD5" i="5"/>
  <c r="FE5" i="5"/>
  <c r="FF5" i="5"/>
  <c r="FG5" i="5"/>
  <c r="FH5" i="5"/>
  <c r="FI5" i="5"/>
  <c r="FJ5" i="5"/>
  <c r="FK5" i="5"/>
  <c r="FL5" i="5"/>
  <c r="FM5" i="5"/>
  <c r="FN5" i="5"/>
  <c r="FO5" i="5"/>
  <c r="FP5" i="5"/>
  <c r="FQ5" i="5"/>
  <c r="FR5" i="5"/>
  <c r="FS5" i="5"/>
  <c r="FT5" i="5"/>
  <c r="FU5" i="5"/>
  <c r="FV5" i="5"/>
  <c r="FW5" i="5"/>
  <c r="FX5" i="5"/>
  <c r="FY5" i="5"/>
  <c r="FZ5" i="5"/>
  <c r="GA5" i="5"/>
  <c r="GB5" i="5"/>
  <c r="GC5" i="5"/>
  <c r="GD5" i="5"/>
  <c r="GE5" i="5"/>
  <c r="GF5" i="5"/>
  <c r="GG5" i="5"/>
  <c r="GH5" i="5"/>
  <c r="GI5" i="5"/>
  <c r="GJ5" i="5"/>
  <c r="GK5" i="5"/>
  <c r="GL5" i="5"/>
  <c r="GM5" i="5"/>
  <c r="GN5" i="5"/>
  <c r="GO5" i="5"/>
  <c r="GP5" i="5"/>
  <c r="GQ5" i="5"/>
  <c r="GR5" i="5"/>
  <c r="GS5" i="5"/>
  <c r="GT5" i="5"/>
  <c r="GU5" i="5"/>
  <c r="GV5" i="5"/>
  <c r="GW5" i="5"/>
  <c r="GX5" i="5"/>
  <c r="GY5" i="5"/>
  <c r="GZ5" i="5"/>
  <c r="HA5" i="5"/>
  <c r="HB5" i="5"/>
  <c r="HC5" i="5"/>
  <c r="HD5" i="5"/>
  <c r="HE5" i="5"/>
  <c r="HF5" i="5"/>
  <c r="HG5" i="5"/>
  <c r="HH5" i="5"/>
  <c r="HI5" i="5"/>
  <c r="HJ5" i="5"/>
  <c r="HK5" i="5"/>
  <c r="HL5" i="5"/>
  <c r="HM5" i="5"/>
  <c r="HN5" i="5"/>
  <c r="HO5" i="5"/>
  <c r="HP5" i="5"/>
  <c r="HQ5" i="5"/>
  <c r="HR5" i="5"/>
  <c r="HS5" i="5"/>
  <c r="HT5" i="5"/>
  <c r="HU5" i="5"/>
  <c r="HV5" i="5"/>
  <c r="HW5" i="5"/>
  <c r="HX5" i="5"/>
  <c r="HY5" i="5"/>
  <c r="HZ5" i="5"/>
  <c r="IA5" i="5"/>
  <c r="IB5" i="5"/>
  <c r="IC5" i="5"/>
  <c r="ID5" i="5"/>
  <c r="IE5" i="5"/>
  <c r="IF5" i="5"/>
  <c r="IG5" i="5"/>
  <c r="IH5" i="5"/>
  <c r="II5" i="5"/>
  <c r="IJ5" i="5"/>
  <c r="IK5" i="5"/>
  <c r="IL5" i="5"/>
  <c r="IM5" i="5"/>
  <c r="IN5" i="5"/>
  <c r="IO5" i="5"/>
  <c r="IP5" i="5"/>
  <c r="IQ5" i="5"/>
  <c r="IR5" i="5"/>
  <c r="IS5" i="5"/>
  <c r="IT5" i="5"/>
  <c r="IU5" i="5"/>
  <c r="IV5" i="5"/>
  <c r="A4" i="5"/>
  <c r="B4" i="5"/>
  <c r="C4" i="5"/>
  <c r="D4" i="5"/>
  <c r="E4" i="5"/>
  <c r="F4" i="5"/>
  <c r="G4" i="5"/>
  <c r="H4" i="5"/>
  <c r="I4" i="5"/>
  <c r="J4" i="5"/>
  <c r="K4" i="5"/>
  <c r="L4" i="5"/>
  <c r="M4" i="5"/>
  <c r="N4" i="5"/>
  <c r="O4" i="5"/>
  <c r="P4" i="5"/>
  <c r="Q4" i="5"/>
  <c r="R4" i="5"/>
  <c r="S4" i="5"/>
  <c r="T4" i="5"/>
  <c r="U4" i="5"/>
  <c r="V4" i="5"/>
  <c r="W4" i="5"/>
  <c r="X4" i="5"/>
  <c r="Y4" i="5"/>
  <c r="Z4" i="5"/>
  <c r="AA4" i="5"/>
  <c r="AB4" i="5"/>
  <c r="AC4" i="5"/>
  <c r="AD4" i="5"/>
  <c r="AE4" i="5"/>
  <c r="AF4" i="5"/>
  <c r="AG4" i="5"/>
  <c r="AH4" i="5"/>
  <c r="AI4" i="5"/>
  <c r="AJ4" i="5"/>
  <c r="AK4" i="5"/>
  <c r="AL4" i="5"/>
  <c r="AM4" i="5"/>
  <c r="AN4" i="5"/>
  <c r="AO4" i="5"/>
  <c r="AP4" i="5"/>
  <c r="AQ4" i="5"/>
  <c r="AR4" i="5"/>
  <c r="AS4" i="5"/>
  <c r="AT4" i="5"/>
  <c r="AU4" i="5"/>
  <c r="AV4" i="5"/>
  <c r="AW4" i="5"/>
  <c r="AX4" i="5"/>
  <c r="AY4" i="5"/>
  <c r="AZ4" i="5"/>
  <c r="BA4" i="5"/>
  <c r="BB4" i="5"/>
  <c r="BC4" i="5"/>
  <c r="BD4" i="5"/>
  <c r="BE4" i="5"/>
  <c r="BF4" i="5"/>
  <c r="BG4" i="5"/>
  <c r="BH4" i="5"/>
  <c r="BI4" i="5"/>
  <c r="BJ4" i="5"/>
  <c r="BK4" i="5"/>
  <c r="BL4" i="5"/>
  <c r="BM4" i="5"/>
  <c r="BN4" i="5"/>
  <c r="BO4" i="5"/>
  <c r="BP4" i="5"/>
  <c r="BQ4" i="5"/>
  <c r="BR4" i="5"/>
  <c r="BS4" i="5"/>
  <c r="BT4" i="5"/>
  <c r="BU4" i="5"/>
  <c r="BV4" i="5"/>
  <c r="BW4" i="5"/>
  <c r="BX4" i="5"/>
  <c r="BY4" i="5"/>
  <c r="BZ4" i="5"/>
  <c r="CA4" i="5"/>
  <c r="CB4" i="5"/>
  <c r="CC4" i="5"/>
  <c r="CD4" i="5"/>
  <c r="CE4" i="5"/>
  <c r="CF4" i="5"/>
  <c r="CG4" i="5"/>
  <c r="CH4" i="5"/>
  <c r="CI4" i="5"/>
  <c r="CJ4" i="5"/>
  <c r="CK4" i="5"/>
  <c r="CL4" i="5"/>
  <c r="CM4" i="5"/>
  <c r="CN4" i="5"/>
  <c r="CO4" i="5"/>
  <c r="CP4" i="5"/>
  <c r="CQ4" i="5"/>
  <c r="CR4" i="5"/>
  <c r="CS4" i="5"/>
  <c r="CT4" i="5"/>
  <c r="CU4" i="5"/>
  <c r="CV4" i="5"/>
  <c r="CW4" i="5"/>
  <c r="CX4" i="5"/>
  <c r="CY4" i="5"/>
  <c r="CZ4" i="5"/>
  <c r="DA4" i="5"/>
  <c r="DB4" i="5"/>
  <c r="DC4" i="5"/>
  <c r="DD4" i="5"/>
  <c r="DE4" i="5"/>
  <c r="DF4" i="5"/>
  <c r="DG4" i="5"/>
  <c r="DH4" i="5"/>
  <c r="DI4" i="5"/>
  <c r="DJ4" i="5"/>
  <c r="DK4" i="5"/>
  <c r="DL4" i="5"/>
  <c r="DM4" i="5"/>
  <c r="DN4" i="5"/>
  <c r="DO4" i="5"/>
  <c r="DP4" i="5"/>
  <c r="DQ4" i="5"/>
  <c r="DR4" i="5"/>
  <c r="DS4" i="5"/>
  <c r="DT4" i="5"/>
  <c r="DU4" i="5"/>
  <c r="DV4" i="5"/>
  <c r="DW4" i="5"/>
  <c r="DX4" i="5"/>
  <c r="DY4" i="5"/>
  <c r="DZ4" i="5"/>
  <c r="EA4" i="5"/>
  <c r="EB4" i="5"/>
  <c r="EC4" i="5"/>
  <c r="ED4" i="5"/>
  <c r="EE4" i="5"/>
  <c r="EF4" i="5"/>
  <c r="EG4" i="5"/>
  <c r="EH4" i="5"/>
  <c r="EI4" i="5"/>
  <c r="EJ4" i="5"/>
  <c r="EK4" i="5"/>
  <c r="EL4" i="5"/>
  <c r="EM4" i="5"/>
  <c r="EN4" i="5"/>
  <c r="EO4" i="5"/>
  <c r="EP4" i="5"/>
  <c r="EQ4" i="5"/>
  <c r="ER4" i="5"/>
  <c r="ES4" i="5"/>
  <c r="ET4" i="5"/>
  <c r="EU4" i="5"/>
  <c r="EV4" i="5"/>
  <c r="EW4" i="5"/>
  <c r="EX4" i="5"/>
  <c r="EY4" i="5"/>
  <c r="EZ4" i="5"/>
  <c r="FA4" i="5"/>
  <c r="FB4" i="5"/>
  <c r="FC4" i="5"/>
  <c r="FD4" i="5"/>
  <c r="FE4" i="5"/>
  <c r="FF4" i="5"/>
  <c r="FG4" i="5"/>
  <c r="FH4" i="5"/>
  <c r="FI4" i="5"/>
  <c r="FJ4" i="5"/>
  <c r="FK4" i="5"/>
  <c r="FL4" i="5"/>
  <c r="FM4" i="5"/>
  <c r="FN4" i="5"/>
  <c r="FO4" i="5"/>
  <c r="FP4" i="5"/>
  <c r="FQ4" i="5"/>
  <c r="FR4" i="5"/>
  <c r="FS4" i="5"/>
  <c r="FT4" i="5"/>
  <c r="FU4" i="5"/>
  <c r="FV4" i="5"/>
  <c r="FW4" i="5"/>
  <c r="FX4" i="5"/>
  <c r="FY4" i="5"/>
  <c r="FZ4" i="5"/>
  <c r="GA4" i="5"/>
  <c r="GB4" i="5"/>
  <c r="GC4" i="5"/>
  <c r="GD4" i="5"/>
  <c r="GE4" i="5"/>
  <c r="GF4" i="5"/>
  <c r="GG4" i="5"/>
  <c r="GH4" i="5"/>
  <c r="GI4" i="5"/>
  <c r="GJ4" i="5"/>
  <c r="GK4" i="5"/>
  <c r="GL4" i="5"/>
  <c r="GM4" i="5"/>
  <c r="GN4" i="5"/>
  <c r="GO4" i="5"/>
  <c r="GP4" i="5"/>
  <c r="GQ4" i="5"/>
  <c r="GR4" i="5"/>
  <c r="GS4" i="5"/>
  <c r="GT4" i="5"/>
  <c r="GU4" i="5"/>
  <c r="GV4" i="5"/>
  <c r="GW4" i="5"/>
  <c r="GX4" i="5"/>
  <c r="GY4" i="5"/>
  <c r="GZ4" i="5"/>
  <c r="HA4" i="5"/>
  <c r="HB4" i="5"/>
  <c r="HC4" i="5"/>
  <c r="HD4" i="5"/>
  <c r="HE4" i="5"/>
  <c r="HF4" i="5"/>
  <c r="HG4" i="5"/>
  <c r="HH4" i="5"/>
  <c r="HI4" i="5"/>
  <c r="HJ4" i="5"/>
  <c r="HK4" i="5"/>
  <c r="HL4" i="5"/>
  <c r="HM4" i="5"/>
  <c r="HN4" i="5"/>
  <c r="HO4" i="5"/>
  <c r="HP4" i="5"/>
  <c r="HQ4" i="5"/>
  <c r="HR4" i="5"/>
  <c r="HS4" i="5"/>
  <c r="HT4" i="5"/>
  <c r="HU4" i="5"/>
  <c r="HV4" i="5"/>
  <c r="HW4" i="5"/>
  <c r="HX4" i="5"/>
  <c r="HY4" i="5"/>
  <c r="HZ4" i="5"/>
  <c r="IA4" i="5"/>
  <c r="IB4" i="5"/>
  <c r="IC4" i="5"/>
  <c r="ID4" i="5"/>
  <c r="IE4" i="5"/>
  <c r="IF4" i="5"/>
  <c r="IG4" i="5"/>
  <c r="IH4" i="5"/>
  <c r="II4" i="5"/>
  <c r="IJ4" i="5"/>
  <c r="IK4" i="5"/>
  <c r="IL4" i="5"/>
  <c r="IM4" i="5"/>
  <c r="IN4" i="5"/>
  <c r="IO4" i="5"/>
  <c r="IP4" i="5"/>
  <c r="IQ4" i="5"/>
  <c r="IR4" i="5"/>
  <c r="IS4" i="5"/>
  <c r="IT4" i="5"/>
  <c r="IU4" i="5"/>
  <c r="IV4" i="5"/>
  <c r="A3" i="5"/>
  <c r="B3" i="5"/>
  <c r="C3" i="5"/>
  <c r="D3" i="5"/>
  <c r="E3" i="5"/>
  <c r="F3" i="5"/>
  <c r="G3" i="5"/>
  <c r="H3" i="5"/>
  <c r="I3" i="5"/>
  <c r="J3" i="5"/>
  <c r="K3" i="5"/>
  <c r="L3" i="5"/>
  <c r="M3" i="5"/>
  <c r="N3" i="5"/>
  <c r="O3" i="5"/>
  <c r="P3" i="5"/>
  <c r="Q3" i="5"/>
  <c r="R3" i="5"/>
  <c r="S3" i="5"/>
  <c r="T3" i="5"/>
  <c r="U3" i="5"/>
  <c r="V3" i="5"/>
  <c r="W3" i="5"/>
  <c r="X3" i="5"/>
  <c r="Y3" i="5"/>
  <c r="Z3" i="5"/>
  <c r="AA3" i="5"/>
  <c r="AB3" i="5"/>
  <c r="AC3" i="5"/>
  <c r="AD3" i="5"/>
  <c r="AE3" i="5"/>
  <c r="AF3" i="5"/>
  <c r="AG3" i="5"/>
  <c r="AH3" i="5"/>
  <c r="AI3" i="5"/>
  <c r="AJ3" i="5"/>
  <c r="AK3" i="5"/>
  <c r="AL3" i="5"/>
  <c r="AM3" i="5"/>
  <c r="AN3" i="5"/>
  <c r="AO3" i="5"/>
  <c r="AP3" i="5"/>
  <c r="AQ3" i="5"/>
  <c r="AR3" i="5"/>
  <c r="AS3" i="5"/>
  <c r="AT3" i="5"/>
  <c r="AU3" i="5"/>
  <c r="AV3" i="5"/>
  <c r="AW3" i="5"/>
  <c r="AX3" i="5"/>
  <c r="AY3" i="5"/>
  <c r="AZ3" i="5"/>
  <c r="BA3" i="5"/>
  <c r="BB3" i="5"/>
  <c r="BC3" i="5"/>
  <c r="BD3" i="5"/>
  <c r="BE3" i="5"/>
  <c r="BF3" i="5"/>
  <c r="BG3" i="5"/>
  <c r="BH3" i="5"/>
  <c r="BI3" i="5"/>
  <c r="BJ3" i="5"/>
  <c r="BK3" i="5"/>
  <c r="BL3" i="5"/>
  <c r="BM3" i="5"/>
  <c r="BN3" i="5"/>
  <c r="BO3" i="5"/>
  <c r="BP3" i="5"/>
  <c r="BQ3" i="5"/>
  <c r="BR3" i="5"/>
  <c r="BS3" i="5"/>
  <c r="BT3" i="5"/>
  <c r="BU3" i="5"/>
  <c r="BV3" i="5"/>
  <c r="BW3" i="5"/>
  <c r="BX3" i="5"/>
  <c r="BY3" i="5"/>
  <c r="BZ3" i="5"/>
  <c r="CA3" i="5"/>
  <c r="CB3" i="5"/>
  <c r="CC3" i="5"/>
  <c r="CD3" i="5"/>
  <c r="CE3" i="5"/>
  <c r="CF3" i="5"/>
  <c r="CG3" i="5"/>
  <c r="CH3" i="5"/>
  <c r="CI3" i="5"/>
  <c r="CJ3" i="5"/>
  <c r="CK3" i="5"/>
  <c r="CL3" i="5"/>
  <c r="CM3" i="5"/>
  <c r="CN3" i="5"/>
  <c r="CO3" i="5"/>
  <c r="CP3" i="5"/>
  <c r="CQ3" i="5"/>
  <c r="CR3" i="5"/>
  <c r="CS3" i="5"/>
  <c r="CT3" i="5"/>
  <c r="CU3" i="5"/>
  <c r="CV3" i="5"/>
  <c r="CW3" i="5"/>
  <c r="CX3" i="5"/>
  <c r="CY3" i="5"/>
  <c r="CZ3" i="5"/>
  <c r="DA3" i="5"/>
  <c r="DB3" i="5"/>
  <c r="DC3" i="5"/>
  <c r="DD3" i="5"/>
  <c r="DE3" i="5"/>
  <c r="DF3" i="5"/>
  <c r="DG3" i="5"/>
  <c r="DH3" i="5"/>
  <c r="DI3" i="5"/>
  <c r="DJ3" i="5"/>
  <c r="DK3" i="5"/>
  <c r="DL3" i="5"/>
  <c r="DM3" i="5"/>
  <c r="DN3" i="5"/>
  <c r="DO3" i="5"/>
  <c r="DP3" i="5"/>
  <c r="DQ3" i="5"/>
  <c r="DR3" i="5"/>
  <c r="DS3" i="5"/>
  <c r="DT3" i="5"/>
  <c r="DU3" i="5"/>
  <c r="DV3" i="5"/>
  <c r="DW3" i="5"/>
  <c r="DX3" i="5"/>
  <c r="DY3" i="5"/>
  <c r="DZ3" i="5"/>
  <c r="EA3" i="5"/>
  <c r="EB3" i="5"/>
  <c r="EC3" i="5"/>
  <c r="ED3" i="5"/>
  <c r="EE3" i="5"/>
  <c r="EF3" i="5"/>
  <c r="EG3" i="5"/>
  <c r="EH3" i="5"/>
  <c r="EI3" i="5"/>
  <c r="EJ3" i="5"/>
  <c r="EK3" i="5"/>
  <c r="EL3" i="5"/>
  <c r="EM3" i="5"/>
  <c r="EN3" i="5"/>
  <c r="EO3" i="5"/>
  <c r="EP3" i="5"/>
  <c r="EQ3" i="5"/>
  <c r="ER3" i="5"/>
  <c r="ES3" i="5"/>
  <c r="ET3" i="5"/>
  <c r="EU3" i="5"/>
  <c r="EV3" i="5"/>
  <c r="EW3" i="5"/>
  <c r="EX3" i="5"/>
  <c r="EY3" i="5"/>
  <c r="EZ3" i="5"/>
  <c r="FA3" i="5"/>
  <c r="FB3" i="5"/>
  <c r="FC3" i="5"/>
  <c r="FD3" i="5"/>
  <c r="FE3" i="5"/>
  <c r="FF3" i="5"/>
  <c r="FG3" i="5"/>
  <c r="FH3" i="5"/>
  <c r="FI3" i="5"/>
  <c r="FJ3" i="5"/>
  <c r="FK3" i="5"/>
  <c r="FL3" i="5"/>
  <c r="FM3" i="5"/>
  <c r="FN3" i="5"/>
  <c r="FO3" i="5"/>
  <c r="FP3" i="5"/>
  <c r="FQ3" i="5"/>
  <c r="FR3" i="5"/>
  <c r="FS3" i="5"/>
  <c r="FT3" i="5"/>
  <c r="FU3" i="5"/>
  <c r="FV3" i="5"/>
  <c r="FW3" i="5"/>
  <c r="FX3" i="5"/>
  <c r="FY3" i="5"/>
  <c r="FZ3" i="5"/>
  <c r="GA3" i="5"/>
  <c r="GB3" i="5"/>
  <c r="GC3" i="5"/>
  <c r="GD3" i="5"/>
  <c r="GE3" i="5"/>
  <c r="GF3" i="5"/>
  <c r="GG3" i="5"/>
  <c r="GH3" i="5"/>
  <c r="GI3" i="5"/>
  <c r="GJ3" i="5"/>
  <c r="GK3" i="5"/>
  <c r="GL3" i="5"/>
  <c r="GM3" i="5"/>
  <c r="GN3" i="5"/>
  <c r="GO3" i="5"/>
  <c r="GP3" i="5"/>
  <c r="GQ3" i="5"/>
  <c r="GR3" i="5"/>
  <c r="GS3" i="5"/>
  <c r="GT3" i="5"/>
  <c r="GU3" i="5"/>
  <c r="GV3" i="5"/>
  <c r="GW3" i="5"/>
  <c r="GX3" i="5"/>
  <c r="GY3" i="5"/>
  <c r="GZ3" i="5"/>
  <c r="HA3" i="5"/>
  <c r="HB3" i="5"/>
  <c r="HC3" i="5"/>
  <c r="HD3" i="5"/>
  <c r="HE3" i="5"/>
  <c r="HF3" i="5"/>
  <c r="HG3" i="5"/>
  <c r="HH3" i="5"/>
  <c r="HI3" i="5"/>
  <c r="HJ3" i="5"/>
  <c r="HK3" i="5"/>
  <c r="HL3" i="5"/>
  <c r="HM3" i="5"/>
  <c r="HN3" i="5"/>
  <c r="HO3" i="5"/>
  <c r="HP3" i="5"/>
  <c r="HQ3" i="5"/>
  <c r="HR3" i="5"/>
  <c r="HS3" i="5"/>
  <c r="HT3" i="5"/>
  <c r="HU3" i="5"/>
  <c r="HV3" i="5"/>
  <c r="HW3" i="5"/>
  <c r="HX3" i="5"/>
  <c r="HY3" i="5"/>
  <c r="HZ3" i="5"/>
  <c r="IA3" i="5"/>
  <c r="IB3" i="5"/>
  <c r="IC3" i="5"/>
  <c r="ID3" i="5"/>
  <c r="IE3" i="5"/>
  <c r="IF3" i="5"/>
  <c r="IG3" i="5"/>
  <c r="IH3" i="5"/>
  <c r="II3" i="5"/>
  <c r="IJ3" i="5"/>
  <c r="IK3" i="5"/>
  <c r="IL3" i="5"/>
  <c r="IM3" i="5"/>
  <c r="IN3" i="5"/>
  <c r="IO3" i="5"/>
  <c r="IP3" i="5"/>
  <c r="IQ3" i="5"/>
  <c r="IR3" i="5"/>
  <c r="IS3" i="5"/>
  <c r="IT3" i="5"/>
  <c r="IU3" i="5"/>
  <c r="IV3" i="5"/>
  <c r="A2" i="5"/>
  <c r="B2" i="5"/>
  <c r="C2" i="5"/>
  <c r="D2" i="5"/>
  <c r="E2" i="5"/>
  <c r="F2" i="5"/>
  <c r="G2" i="5"/>
  <c r="H2" i="5"/>
  <c r="I2" i="5"/>
  <c r="J2" i="5"/>
  <c r="K2" i="5"/>
  <c r="L2" i="5"/>
  <c r="M2" i="5"/>
  <c r="N2" i="5"/>
  <c r="O2" i="5"/>
  <c r="P2" i="5"/>
  <c r="Q2" i="5"/>
  <c r="R2" i="5"/>
  <c r="S2" i="5"/>
  <c r="T2" i="5"/>
  <c r="U2" i="5"/>
  <c r="V2" i="5"/>
  <c r="W2" i="5"/>
  <c r="X2" i="5"/>
  <c r="Y2" i="5"/>
  <c r="Z2" i="5"/>
  <c r="AA2" i="5"/>
  <c r="AB2" i="5"/>
  <c r="AC2" i="5"/>
  <c r="AD2" i="5"/>
  <c r="AE2" i="5"/>
  <c r="AF2" i="5"/>
  <c r="AG2" i="5"/>
  <c r="AH2" i="5"/>
  <c r="AI2" i="5"/>
  <c r="AJ2" i="5"/>
  <c r="AK2" i="5"/>
  <c r="AL2" i="5"/>
  <c r="AM2" i="5"/>
  <c r="AN2" i="5"/>
  <c r="AO2" i="5"/>
  <c r="AP2" i="5"/>
  <c r="AQ2" i="5"/>
  <c r="AR2" i="5"/>
  <c r="AS2" i="5"/>
  <c r="AT2" i="5"/>
  <c r="AU2" i="5"/>
  <c r="AV2" i="5"/>
  <c r="AW2" i="5"/>
  <c r="AX2" i="5"/>
  <c r="AY2" i="5"/>
  <c r="AZ2" i="5"/>
  <c r="BA2" i="5"/>
  <c r="BB2" i="5"/>
  <c r="BC2" i="5"/>
  <c r="BD2" i="5"/>
  <c r="BE2" i="5"/>
  <c r="BF2" i="5"/>
  <c r="BG2" i="5"/>
  <c r="BH2" i="5"/>
  <c r="BI2" i="5"/>
  <c r="BJ2" i="5"/>
  <c r="BK2" i="5"/>
  <c r="BL2" i="5"/>
  <c r="BM2" i="5"/>
  <c r="BN2" i="5"/>
  <c r="BO2" i="5"/>
  <c r="BP2" i="5"/>
  <c r="BQ2" i="5"/>
  <c r="BR2" i="5"/>
  <c r="BS2" i="5"/>
  <c r="BT2" i="5"/>
  <c r="BU2" i="5"/>
  <c r="BV2" i="5"/>
  <c r="BW2" i="5"/>
  <c r="BX2" i="5"/>
  <c r="BY2" i="5"/>
  <c r="BZ2" i="5"/>
  <c r="CA2" i="5"/>
  <c r="CB2" i="5"/>
  <c r="CC2" i="5"/>
  <c r="CD2" i="5"/>
  <c r="CE2" i="5"/>
  <c r="CF2" i="5"/>
  <c r="CG2" i="5"/>
  <c r="CH2" i="5"/>
  <c r="CI2" i="5"/>
  <c r="CJ2" i="5"/>
  <c r="CK2" i="5"/>
  <c r="CL2" i="5"/>
  <c r="CM2" i="5"/>
  <c r="CN2" i="5"/>
  <c r="CO2" i="5"/>
  <c r="CP2" i="5"/>
  <c r="CQ2" i="5"/>
  <c r="CR2" i="5"/>
  <c r="CS2" i="5"/>
  <c r="CT2" i="5"/>
  <c r="CU2" i="5"/>
  <c r="CV2" i="5"/>
  <c r="CW2" i="5"/>
  <c r="CX2" i="5"/>
  <c r="CY2" i="5"/>
  <c r="CZ2" i="5"/>
  <c r="DA2" i="5"/>
  <c r="DB2" i="5"/>
  <c r="DC2" i="5"/>
  <c r="DD2" i="5"/>
  <c r="DE2" i="5"/>
  <c r="DF2" i="5"/>
  <c r="DG2" i="5"/>
  <c r="DH2" i="5"/>
  <c r="DI2" i="5"/>
  <c r="DJ2" i="5"/>
  <c r="DK2" i="5"/>
  <c r="DL2" i="5"/>
  <c r="DM2" i="5"/>
  <c r="DN2" i="5"/>
  <c r="DO2" i="5"/>
  <c r="DP2" i="5"/>
  <c r="DQ2" i="5"/>
  <c r="DR2" i="5"/>
  <c r="DS2" i="5"/>
  <c r="DT2" i="5"/>
  <c r="DU2" i="5"/>
  <c r="DV2" i="5"/>
  <c r="DW2" i="5"/>
  <c r="DX2" i="5"/>
  <c r="DY2" i="5"/>
  <c r="DZ2" i="5"/>
  <c r="EA2" i="5"/>
  <c r="EB2" i="5"/>
  <c r="EC2" i="5"/>
  <c r="ED2" i="5"/>
  <c r="EE2" i="5"/>
  <c r="EF2" i="5"/>
  <c r="EG2" i="5"/>
  <c r="EH2" i="5"/>
  <c r="EI2" i="5"/>
  <c r="EJ2" i="5"/>
  <c r="EK2" i="5"/>
  <c r="EL2" i="5"/>
  <c r="EM2" i="5"/>
  <c r="EN2" i="5"/>
  <c r="EO2" i="5"/>
  <c r="EP2" i="5"/>
  <c r="EQ2" i="5"/>
  <c r="ER2" i="5"/>
  <c r="ES2" i="5"/>
  <c r="ET2" i="5"/>
  <c r="EU2" i="5"/>
  <c r="EV2" i="5"/>
  <c r="EW2" i="5"/>
  <c r="EX2" i="5"/>
  <c r="EY2" i="5"/>
  <c r="EZ2" i="5"/>
  <c r="FA2" i="5"/>
  <c r="FB2" i="5"/>
  <c r="FC2" i="5"/>
  <c r="FD2" i="5"/>
  <c r="FE2" i="5"/>
  <c r="FF2" i="5"/>
  <c r="FG2" i="5"/>
  <c r="FH2" i="5"/>
  <c r="FI2" i="5"/>
  <c r="FJ2" i="5"/>
  <c r="FK2" i="5"/>
  <c r="FL2" i="5"/>
  <c r="FM2" i="5"/>
  <c r="FN2" i="5"/>
  <c r="FO2" i="5"/>
  <c r="FP2" i="5"/>
  <c r="FQ2" i="5"/>
  <c r="FR2" i="5"/>
  <c r="FS2" i="5"/>
  <c r="FT2" i="5"/>
  <c r="FU2" i="5"/>
  <c r="FV2" i="5"/>
  <c r="FW2" i="5"/>
  <c r="FX2" i="5"/>
  <c r="FY2" i="5"/>
  <c r="FZ2" i="5"/>
  <c r="GA2" i="5"/>
  <c r="GB2" i="5"/>
  <c r="GC2" i="5"/>
  <c r="GD2" i="5"/>
  <c r="GE2" i="5"/>
  <c r="GF2" i="5"/>
  <c r="GG2" i="5"/>
  <c r="GH2" i="5"/>
  <c r="GI2" i="5"/>
  <c r="GJ2" i="5"/>
  <c r="GK2" i="5"/>
  <c r="GL2" i="5"/>
  <c r="GM2" i="5"/>
  <c r="GN2" i="5"/>
  <c r="GO2" i="5"/>
  <c r="GP2" i="5"/>
  <c r="GQ2" i="5"/>
  <c r="GR2" i="5"/>
  <c r="GS2" i="5"/>
  <c r="GT2" i="5"/>
  <c r="GU2" i="5"/>
  <c r="GV2" i="5"/>
  <c r="GW2" i="5"/>
  <c r="GX2" i="5"/>
  <c r="GY2" i="5"/>
  <c r="GZ2" i="5"/>
  <c r="HA2" i="5"/>
  <c r="HB2" i="5"/>
  <c r="HC2" i="5"/>
  <c r="HD2" i="5"/>
  <c r="HE2" i="5"/>
  <c r="HF2" i="5"/>
  <c r="HG2" i="5"/>
  <c r="HH2" i="5"/>
  <c r="HI2" i="5"/>
  <c r="HJ2" i="5"/>
  <c r="HK2" i="5"/>
  <c r="HL2" i="5"/>
  <c r="HM2" i="5"/>
  <c r="HN2" i="5"/>
  <c r="HO2" i="5"/>
  <c r="HP2" i="5"/>
  <c r="HQ2" i="5"/>
  <c r="HR2" i="5"/>
  <c r="HS2" i="5"/>
  <c r="HT2" i="5"/>
  <c r="HU2" i="5"/>
  <c r="HV2" i="5"/>
  <c r="HW2" i="5"/>
  <c r="HX2" i="5"/>
  <c r="HY2" i="5"/>
  <c r="HZ2" i="5"/>
  <c r="IA2" i="5"/>
  <c r="IB2" i="5"/>
  <c r="IC2" i="5"/>
  <c r="ID2" i="5"/>
  <c r="IE2" i="5"/>
  <c r="IF2" i="5"/>
  <c r="IG2" i="5"/>
  <c r="IH2" i="5"/>
  <c r="II2" i="5"/>
  <c r="IJ2" i="5"/>
  <c r="IK2" i="5"/>
  <c r="IL2" i="5"/>
  <c r="IM2" i="5"/>
  <c r="IN2" i="5"/>
  <c r="IO2" i="5"/>
  <c r="IP2" i="5"/>
  <c r="IQ2" i="5"/>
  <c r="IR2" i="5"/>
  <c r="IS2" i="5"/>
  <c r="IT2" i="5"/>
  <c r="IU2" i="5"/>
  <c r="IV2" i="5"/>
  <c r="A1" i="5"/>
  <c r="B1" i="5"/>
  <c r="C1" i="5"/>
  <c r="D1" i="5"/>
  <c r="E1" i="5"/>
  <c r="F1" i="5"/>
  <c r="G1" i="5"/>
  <c r="H1" i="5"/>
  <c r="I1" i="5"/>
  <c r="J1" i="5"/>
  <c r="K1" i="5"/>
  <c r="L1" i="5"/>
  <c r="M1" i="5"/>
  <c r="N1" i="5"/>
  <c r="O1" i="5"/>
  <c r="P1" i="5"/>
  <c r="Q1" i="5"/>
  <c r="R1" i="5"/>
  <c r="S1" i="5"/>
  <c r="T1" i="5"/>
  <c r="U1" i="5"/>
  <c r="V1" i="5"/>
  <c r="W1" i="5"/>
  <c r="X1" i="5"/>
  <c r="Y1" i="5"/>
  <c r="Z1" i="5"/>
  <c r="AA1" i="5"/>
  <c r="AB1" i="5"/>
  <c r="AC1" i="5"/>
  <c r="AD1" i="5"/>
  <c r="AE1" i="5"/>
  <c r="AF1" i="5"/>
  <c r="AG1" i="5"/>
  <c r="AH1" i="5"/>
  <c r="AI1" i="5"/>
  <c r="AJ1" i="5"/>
  <c r="AK1" i="5"/>
  <c r="AL1" i="5"/>
  <c r="AM1" i="5"/>
  <c r="AN1" i="5"/>
  <c r="AO1" i="5"/>
  <c r="AP1" i="5"/>
  <c r="AQ1" i="5"/>
  <c r="AR1" i="5"/>
  <c r="AS1" i="5"/>
  <c r="AT1" i="5"/>
  <c r="AU1" i="5"/>
  <c r="AV1" i="5"/>
  <c r="AW1" i="5"/>
  <c r="AX1" i="5"/>
  <c r="AY1" i="5"/>
  <c r="AZ1" i="5"/>
  <c r="BA1" i="5"/>
  <c r="BB1" i="5"/>
  <c r="BC1" i="5"/>
  <c r="BD1" i="5"/>
  <c r="BE1" i="5"/>
  <c r="BF1" i="5"/>
  <c r="BG1" i="5"/>
  <c r="BH1" i="5"/>
  <c r="BI1" i="5"/>
  <c r="BJ1" i="5"/>
  <c r="BK1" i="5"/>
  <c r="BL1" i="5"/>
  <c r="BM1" i="5"/>
  <c r="BN1" i="5"/>
  <c r="BO1" i="5"/>
  <c r="BP1" i="5"/>
  <c r="BQ1" i="5"/>
  <c r="BR1" i="5"/>
  <c r="BS1" i="5"/>
  <c r="BT1" i="5"/>
  <c r="BU1" i="5"/>
  <c r="BV1" i="5"/>
  <c r="BW1" i="5"/>
  <c r="BX1" i="5"/>
  <c r="BY1" i="5"/>
  <c r="BZ1" i="5"/>
  <c r="CA1" i="5"/>
  <c r="CB1" i="5"/>
  <c r="CC1" i="5"/>
  <c r="CD1" i="5"/>
  <c r="CE1" i="5"/>
  <c r="CF1" i="5"/>
  <c r="CG1" i="5"/>
  <c r="CH1" i="5"/>
  <c r="CI1" i="5"/>
  <c r="CJ1" i="5"/>
  <c r="CK1" i="5"/>
  <c r="CL1" i="5"/>
  <c r="CM1" i="5"/>
  <c r="CN1" i="5"/>
  <c r="CO1" i="5"/>
  <c r="CP1" i="5"/>
  <c r="CQ1" i="5"/>
  <c r="CR1" i="5"/>
  <c r="CS1" i="5"/>
  <c r="CT1" i="5"/>
  <c r="CU1" i="5"/>
  <c r="CV1" i="5"/>
  <c r="CW1" i="5"/>
  <c r="CX1" i="5"/>
  <c r="CY1" i="5"/>
  <c r="CZ1" i="5"/>
  <c r="DA1" i="5"/>
  <c r="DB1" i="5"/>
  <c r="DC1" i="5"/>
  <c r="DD1" i="5"/>
  <c r="DE1" i="5"/>
  <c r="DF1" i="5"/>
  <c r="DG1" i="5"/>
  <c r="DH1" i="5"/>
  <c r="DI1" i="5"/>
  <c r="DJ1" i="5"/>
  <c r="DK1" i="5"/>
  <c r="DL1" i="5"/>
  <c r="DM1" i="5"/>
  <c r="DN1" i="5"/>
  <c r="DO1" i="5"/>
  <c r="DP1" i="5"/>
  <c r="DQ1" i="5"/>
  <c r="DR1" i="5"/>
  <c r="DS1" i="5"/>
  <c r="DT1" i="5"/>
  <c r="DU1" i="5"/>
  <c r="DV1" i="5"/>
  <c r="DW1" i="5"/>
  <c r="DX1" i="5"/>
  <c r="DY1" i="5"/>
  <c r="DZ1" i="5"/>
  <c r="EA1" i="5"/>
  <c r="EB1" i="5"/>
  <c r="EC1" i="5"/>
  <c r="ED1" i="5"/>
  <c r="EE1" i="5"/>
  <c r="EF1" i="5"/>
  <c r="EG1" i="5"/>
  <c r="EH1" i="5"/>
  <c r="EI1" i="5"/>
  <c r="EJ1" i="5"/>
  <c r="EK1" i="5"/>
  <c r="EL1" i="5"/>
  <c r="EM1" i="5"/>
  <c r="EN1" i="5"/>
  <c r="EO1" i="5"/>
  <c r="EP1" i="5"/>
  <c r="EQ1" i="5"/>
  <c r="ER1" i="5"/>
  <c r="ES1" i="5"/>
  <c r="ET1" i="5"/>
  <c r="EU1" i="5"/>
  <c r="EV1" i="5"/>
  <c r="EW1" i="5"/>
  <c r="EX1" i="5"/>
  <c r="EY1" i="5"/>
  <c r="EZ1" i="5"/>
  <c r="FA1" i="5"/>
  <c r="FB1" i="5"/>
  <c r="FC1" i="5"/>
  <c r="FD1" i="5"/>
  <c r="FE1" i="5"/>
  <c r="FF1" i="5"/>
  <c r="FG1" i="5"/>
  <c r="FH1" i="5"/>
  <c r="FI1" i="5"/>
  <c r="FJ1" i="5"/>
  <c r="FK1" i="5"/>
  <c r="FL1" i="5"/>
  <c r="FM1" i="5"/>
  <c r="FN1" i="5"/>
  <c r="FO1" i="5"/>
  <c r="FP1" i="5"/>
  <c r="FQ1" i="5"/>
  <c r="FR1" i="5"/>
  <c r="FS1" i="5"/>
  <c r="FT1" i="5"/>
  <c r="FU1" i="5"/>
  <c r="FV1" i="5"/>
  <c r="FW1" i="5"/>
  <c r="FX1" i="5"/>
  <c r="FY1" i="5"/>
  <c r="FZ1" i="5"/>
  <c r="GA1" i="5"/>
  <c r="GB1" i="5"/>
  <c r="GC1" i="5"/>
  <c r="GD1" i="5"/>
  <c r="GE1" i="5"/>
  <c r="GF1" i="5"/>
  <c r="GG1" i="5"/>
  <c r="GH1" i="5"/>
  <c r="GI1" i="5"/>
  <c r="GJ1" i="5"/>
  <c r="GK1" i="5"/>
  <c r="GL1" i="5"/>
  <c r="GM1" i="5"/>
  <c r="GN1" i="5"/>
  <c r="GO1" i="5"/>
  <c r="GP1" i="5"/>
  <c r="GQ1" i="5"/>
  <c r="GR1" i="5"/>
  <c r="GS1" i="5"/>
  <c r="GT1" i="5"/>
  <c r="GU1" i="5"/>
  <c r="GV1" i="5"/>
  <c r="GW1" i="5"/>
  <c r="GX1" i="5"/>
  <c r="GY1" i="5"/>
  <c r="GZ1" i="5"/>
  <c r="HA1" i="5"/>
  <c r="HB1" i="5"/>
  <c r="HC1" i="5"/>
  <c r="HD1" i="5"/>
  <c r="HE1" i="5"/>
  <c r="HF1" i="5"/>
  <c r="HG1" i="5"/>
  <c r="HH1" i="5"/>
  <c r="HI1" i="5"/>
  <c r="HJ1" i="5"/>
  <c r="HK1" i="5"/>
  <c r="HL1" i="5"/>
  <c r="HM1" i="5"/>
  <c r="HN1" i="5"/>
  <c r="HO1" i="5"/>
  <c r="HP1" i="5"/>
  <c r="HQ1" i="5"/>
  <c r="HR1" i="5"/>
  <c r="HS1" i="5"/>
  <c r="HT1" i="5"/>
  <c r="HU1" i="5"/>
  <c r="HV1" i="5"/>
  <c r="HW1" i="5"/>
  <c r="HX1" i="5"/>
  <c r="HY1" i="5"/>
  <c r="HZ1" i="5"/>
  <c r="IA1" i="5"/>
  <c r="IB1" i="5"/>
  <c r="IC1" i="5"/>
  <c r="ID1" i="5"/>
  <c r="IE1" i="5"/>
  <c r="IF1" i="5"/>
  <c r="IG1" i="5"/>
  <c r="IH1" i="5"/>
  <c r="II1" i="5"/>
  <c r="IJ1" i="5"/>
  <c r="IK1" i="5"/>
  <c r="IL1" i="5"/>
  <c r="IM1" i="5"/>
  <c r="IN1" i="5"/>
  <c r="IO1" i="5"/>
  <c r="IP1" i="5"/>
  <c r="IQ1" i="5"/>
  <c r="IR1" i="5"/>
  <c r="IS1" i="5"/>
  <c r="IT1" i="5"/>
  <c r="IU1" i="5"/>
  <c r="IV1" i="5"/>
  <c r="BM196" i="4"/>
  <c r="BM195" i="4"/>
  <c r="BU195" i="4" s="1"/>
  <c r="CF195" i="4" s="1"/>
  <c r="BM194" i="4"/>
  <c r="BU194" i="4" s="1"/>
  <c r="CF194" i="4" s="1"/>
  <c r="BM193" i="4"/>
  <c r="BU193" i="4" s="1"/>
  <c r="CF193" i="4" s="1"/>
  <c r="BM192" i="4"/>
  <c r="BU192" i="4" s="1"/>
  <c r="CF192" i="4" s="1"/>
  <c r="BM191" i="4"/>
  <c r="BU191" i="4" s="1"/>
  <c r="CF191" i="4" s="1"/>
  <c r="BM188" i="4"/>
  <c r="BM31" i="4"/>
  <c r="BM186" i="4"/>
  <c r="BM185" i="4"/>
  <c r="BM24" i="4"/>
  <c r="BM22" i="4"/>
  <c r="BM182" i="4"/>
  <c r="BM181" i="4"/>
  <c r="BM180" i="4"/>
  <c r="BM179" i="4"/>
  <c r="BM178" i="4"/>
  <c r="BM175" i="4"/>
  <c r="BM174" i="4"/>
  <c r="BM173" i="4"/>
  <c r="BM172" i="4"/>
  <c r="BU172" i="4" s="1"/>
  <c r="CF172" i="4" s="1"/>
  <c r="CH172" i="4" s="1"/>
  <c r="BM171" i="4"/>
  <c r="BU171" i="4" s="1"/>
  <c r="CF171" i="4" s="1"/>
  <c r="CH171" i="4" s="1"/>
  <c r="BM170" i="4"/>
  <c r="BU170" i="4" s="1"/>
  <c r="CF170" i="4" s="1"/>
  <c r="CH170" i="4" s="1"/>
  <c r="BM169" i="4"/>
  <c r="BU169" i="4" s="1"/>
  <c r="BM168" i="4"/>
  <c r="BU168" i="4" s="1"/>
  <c r="BM167" i="4"/>
  <c r="BM166" i="4"/>
  <c r="BM164" i="4"/>
  <c r="BM163" i="4"/>
  <c r="BM160" i="4"/>
  <c r="BM159" i="4"/>
  <c r="BM156" i="4"/>
  <c r="BM155" i="4"/>
  <c r="BM153" i="4"/>
  <c r="BM152" i="4"/>
  <c r="BU152" i="4" s="1"/>
  <c r="CF152" i="4" s="1"/>
  <c r="BM151" i="4"/>
  <c r="BU151" i="4" s="1"/>
  <c r="CF151" i="4" s="1"/>
  <c r="BM150" i="4"/>
  <c r="BU150" i="4" s="1"/>
  <c r="CF150" i="4" s="1"/>
  <c r="BM149" i="4"/>
  <c r="BU149" i="4" s="1"/>
  <c r="CF149" i="4" s="1"/>
  <c r="BM148" i="4"/>
  <c r="BU148" i="4" s="1"/>
  <c r="CF148" i="4" s="1"/>
  <c r="BM147" i="4"/>
  <c r="BU147" i="4" s="1"/>
  <c r="CF147" i="4" s="1"/>
  <c r="BM146" i="4"/>
  <c r="BU146" i="4" s="1"/>
  <c r="CF146" i="4" s="1"/>
  <c r="BM145" i="4"/>
  <c r="BU145" i="4" s="1"/>
  <c r="CF145" i="4" s="1"/>
  <c r="BM144" i="4"/>
  <c r="BU144" i="4" s="1"/>
  <c r="CF144" i="4" s="1"/>
  <c r="BM143" i="4"/>
  <c r="BU143" i="4" s="1"/>
  <c r="CF143" i="4" s="1"/>
  <c r="BM142" i="4"/>
  <c r="BU142" i="4" s="1"/>
  <c r="CF142" i="4" s="1"/>
  <c r="BM141" i="4"/>
  <c r="BU141" i="4" s="1"/>
  <c r="CF141" i="4" s="1"/>
  <c r="BM140" i="4"/>
  <c r="BU140" i="4" s="1"/>
  <c r="CF140" i="4" s="1"/>
  <c r="BM139" i="4"/>
  <c r="BU139" i="4" s="1"/>
  <c r="CF139" i="4" s="1"/>
  <c r="BM138" i="4"/>
  <c r="BU138" i="4" s="1"/>
  <c r="CF138" i="4" s="1"/>
  <c r="BM137" i="4"/>
  <c r="BU137" i="4" s="1"/>
  <c r="CF137" i="4" s="1"/>
  <c r="BM136" i="4"/>
  <c r="BU136" i="4" s="1"/>
  <c r="CF136" i="4" s="1"/>
  <c r="BM134" i="4"/>
  <c r="BM133" i="4"/>
  <c r="BM121" i="4"/>
  <c r="BM112" i="4"/>
  <c r="BM111" i="4"/>
  <c r="BM110" i="4"/>
  <c r="BM109" i="4"/>
  <c r="BM108" i="4"/>
  <c r="BM105" i="4"/>
  <c r="BM187" i="4"/>
  <c r="BM104" i="4"/>
  <c r="BO25" i="5" s="1"/>
  <c r="BM103" i="4"/>
  <c r="BM102" i="4"/>
  <c r="BM101" i="4"/>
  <c r="BM98" i="4"/>
  <c r="BM97" i="4"/>
  <c r="BM96" i="4"/>
  <c r="BM95" i="4"/>
  <c r="BM91" i="4"/>
  <c r="BM90" i="4"/>
  <c r="BM89" i="4"/>
  <c r="BM88" i="4"/>
  <c r="BM86" i="4"/>
  <c r="BM85" i="4"/>
  <c r="BU85" i="4" s="1"/>
  <c r="CF85" i="4" s="1"/>
  <c r="CH85" i="4" s="1"/>
  <c r="BM84" i="4"/>
  <c r="BU84" i="4" s="1"/>
  <c r="CF84" i="4" s="1"/>
  <c r="CH84" i="4" s="1"/>
  <c r="BM83" i="4"/>
  <c r="BU83" i="4" s="1"/>
  <c r="CF83" i="4" s="1"/>
  <c r="CH83" i="4" s="1"/>
  <c r="BM82" i="4"/>
  <c r="BM81" i="4"/>
  <c r="BM18" i="5" s="1"/>
  <c r="BM20" i="4"/>
  <c r="BM16" i="4"/>
  <c r="BM18" i="4" s="1"/>
  <c r="BM80" i="4"/>
  <c r="BM42" i="4"/>
  <c r="BM40" i="4"/>
  <c r="BM38" i="4"/>
  <c r="BU38" i="4" s="1"/>
  <c r="CF38" i="4" s="1"/>
  <c r="CH38" i="4" s="1"/>
  <c r="BM37" i="4"/>
  <c r="BU37" i="4" s="1"/>
  <c r="CF37" i="4" s="1"/>
  <c r="CH37" i="4" s="1"/>
  <c r="BM36" i="4"/>
  <c r="BM35" i="4"/>
  <c r="BM78" i="4"/>
  <c r="BM77" i="4"/>
  <c r="BU77" i="4" s="1"/>
  <c r="CF77" i="4" s="1"/>
  <c r="CH77" i="4" s="1"/>
  <c r="BM76" i="4"/>
  <c r="BU76" i="4" s="1"/>
  <c r="CF76" i="4" s="1"/>
  <c r="CH76" i="4" s="1"/>
  <c r="BM75" i="4"/>
  <c r="BU75" i="4" s="1"/>
  <c r="CF75" i="4" s="1"/>
  <c r="CH75" i="4" s="1"/>
  <c r="BM74" i="4"/>
  <c r="BU74" i="4" s="1"/>
  <c r="CF74" i="4" s="1"/>
  <c r="CH74" i="4" s="1"/>
  <c r="BM73" i="4"/>
  <c r="BU73" i="4" s="1"/>
  <c r="CF73" i="4" s="1"/>
  <c r="CH73" i="4" s="1"/>
  <c r="BM72" i="4"/>
  <c r="BU72" i="4" s="1"/>
  <c r="CF72" i="4" s="1"/>
  <c r="CH72" i="4" s="1"/>
  <c r="BM71" i="4"/>
  <c r="BU71" i="4" s="1"/>
  <c r="CF71" i="4" s="1"/>
  <c r="CH71" i="4" s="1"/>
  <c r="BM69" i="4"/>
  <c r="BU69" i="4" s="1"/>
  <c r="CF69" i="4" s="1"/>
  <c r="CH69" i="4" s="1"/>
  <c r="BM68" i="4"/>
  <c r="BU68" i="4" s="1"/>
  <c r="CF68" i="4" s="1"/>
  <c r="CH68" i="4" s="1"/>
  <c r="BM67" i="4"/>
  <c r="BU67" i="4" s="1"/>
  <c r="CF67" i="4" s="1"/>
  <c r="CH67" i="4" s="1"/>
  <c r="BM66" i="4"/>
  <c r="BU66" i="4" s="1"/>
  <c r="CF66" i="4" s="1"/>
  <c r="CH66" i="4" s="1"/>
  <c r="BM65" i="4"/>
  <c r="BU65" i="4" s="1"/>
  <c r="CF65" i="4" s="1"/>
  <c r="CH65" i="4" s="1"/>
  <c r="BM64" i="4"/>
  <c r="BU64" i="4" s="1"/>
  <c r="CF64" i="4" s="1"/>
  <c r="CH64" i="4" s="1"/>
  <c r="BM63" i="4"/>
  <c r="BU63" i="4" s="1"/>
  <c r="CF63" i="4" s="1"/>
  <c r="CH63" i="4" s="1"/>
  <c r="BM62" i="4"/>
  <c r="BM61" i="4"/>
  <c r="BU61" i="4" s="1"/>
  <c r="CF61" i="4" s="1"/>
  <c r="CH61" i="4" s="1"/>
  <c r="BM60" i="4"/>
  <c r="BU60" i="4" s="1"/>
  <c r="CF60" i="4" s="1"/>
  <c r="CH60" i="4" s="1"/>
  <c r="BM59" i="4"/>
  <c r="BU59" i="4" s="1"/>
  <c r="CF59" i="4" s="1"/>
  <c r="CH59" i="4" s="1"/>
  <c r="BM58" i="4"/>
  <c r="BU58" i="4" s="1"/>
  <c r="CF58" i="4" s="1"/>
  <c r="CH58" i="4" s="1"/>
  <c r="BM57" i="4"/>
  <c r="BU57" i="4" s="1"/>
  <c r="CF57" i="4" s="1"/>
  <c r="CH57" i="4" s="1"/>
  <c r="BM56" i="4"/>
  <c r="BU56" i="4" s="1"/>
  <c r="CF56" i="4" s="1"/>
  <c r="CH56" i="4" s="1"/>
  <c r="BM55" i="4"/>
  <c r="BU55" i="4" s="1"/>
  <c r="CF55" i="4" s="1"/>
  <c r="CH55" i="4" s="1"/>
  <c r="BM54" i="4"/>
  <c r="BU54" i="4" s="1"/>
  <c r="CF54" i="4" s="1"/>
  <c r="CH54" i="4" s="1"/>
  <c r="BM53" i="4"/>
  <c r="BU53" i="4" s="1"/>
  <c r="CF53" i="4" s="1"/>
  <c r="CH53" i="4" s="1"/>
  <c r="BM52" i="4"/>
  <c r="BU52" i="4" s="1"/>
  <c r="CF52" i="4" s="1"/>
  <c r="CH52" i="4" s="1"/>
  <c r="BM51" i="4"/>
  <c r="BU51" i="4" s="1"/>
  <c r="CF51" i="4" s="1"/>
  <c r="CH51" i="4" s="1"/>
  <c r="BM50" i="4"/>
  <c r="BK92" i="4"/>
  <c r="BM12" i="4"/>
  <c r="BM11" i="4"/>
  <c r="BM10" i="4"/>
  <c r="BM7" i="4"/>
  <c r="BM5" i="4"/>
  <c r="BW18" i="4" l="1"/>
  <c r="BW52" i="4"/>
  <c r="BW137" i="4"/>
  <c r="CH137" i="4"/>
  <c r="BW51" i="4"/>
  <c r="BW85" i="4"/>
  <c r="BW144" i="4"/>
  <c r="CH144" i="4"/>
  <c r="BW193" i="4"/>
  <c r="CH193" i="4"/>
  <c r="BW58" i="4"/>
  <c r="BW84" i="4"/>
  <c r="BW151" i="4"/>
  <c r="CH151" i="4"/>
  <c r="BW38" i="4"/>
  <c r="BW142" i="4"/>
  <c r="CH142" i="4"/>
  <c r="BW191" i="4"/>
  <c r="CH191" i="4"/>
  <c r="BW56" i="4"/>
  <c r="BW64" i="4"/>
  <c r="BW73" i="4"/>
  <c r="BW37" i="4"/>
  <c r="BW141" i="4"/>
  <c r="CH141" i="4"/>
  <c r="BW149" i="4"/>
  <c r="CH149" i="4"/>
  <c r="BW171" i="4"/>
  <c r="BW60" i="4"/>
  <c r="BW67" i="4"/>
  <c r="BW143" i="4"/>
  <c r="CH143" i="4"/>
  <c r="BW192" i="4"/>
  <c r="CH192" i="4"/>
  <c r="BW57" i="4"/>
  <c r="BW83" i="4"/>
  <c r="BW63" i="4"/>
  <c r="BW72" i="4"/>
  <c r="BW140" i="4"/>
  <c r="CH140" i="4"/>
  <c r="BW148" i="4"/>
  <c r="CH148" i="4"/>
  <c r="BW170" i="4"/>
  <c r="BW68" i="4"/>
  <c r="BW194" i="4"/>
  <c r="CH194" i="4"/>
  <c r="BW59" i="4"/>
  <c r="BW136" i="4"/>
  <c r="CH136" i="4"/>
  <c r="BW66" i="4"/>
  <c r="BW74" i="4"/>
  <c r="BW172" i="4"/>
  <c r="BW55" i="4"/>
  <c r="BW54" i="4"/>
  <c r="BW71" i="4"/>
  <c r="BW139" i="4"/>
  <c r="CH139" i="4"/>
  <c r="BW147" i="4"/>
  <c r="CH147" i="4"/>
  <c r="BW169" i="4"/>
  <c r="BU33" i="4"/>
  <c r="BW33" i="4" s="1"/>
  <c r="BW77" i="4"/>
  <c r="BW145" i="4"/>
  <c r="CH145" i="4"/>
  <c r="BW76" i="4"/>
  <c r="BW152" i="4"/>
  <c r="CH152" i="4"/>
  <c r="BW75" i="4"/>
  <c r="BW65" i="4"/>
  <c r="BW150" i="4"/>
  <c r="CH150" i="4"/>
  <c r="CB36" i="5" s="1"/>
  <c r="BW53" i="4"/>
  <c r="BW61" i="4"/>
  <c r="BW69" i="4"/>
  <c r="BW138" i="4"/>
  <c r="CH138" i="4"/>
  <c r="BW146" i="4"/>
  <c r="CH146" i="4"/>
  <c r="BW168" i="4"/>
  <c r="BW195" i="4"/>
  <c r="CH195" i="4"/>
  <c r="BS39" i="4"/>
  <c r="BS92" i="4" s="1"/>
  <c r="BW39" i="4"/>
  <c r="BW29" i="4"/>
  <c r="BW92" i="4"/>
  <c r="BI197" i="4"/>
  <c r="BM25" i="4"/>
  <c r="BM33" i="4" s="1"/>
  <c r="BM189" i="4"/>
  <c r="BK11" i="5"/>
  <c r="CU51" i="5"/>
  <c r="BU197" i="4" l="1"/>
  <c r="BG190" i="4"/>
  <c r="BG161" i="4"/>
  <c r="BG157" i="4"/>
  <c r="BG135" i="4"/>
  <c r="BG130" i="4"/>
  <c r="BG113" i="4"/>
  <c r="BM113" i="4" s="1"/>
  <c r="BG106" i="4"/>
  <c r="BG99" i="4"/>
  <c r="BG39" i="4"/>
  <c r="BG13" i="4"/>
  <c r="BG8" i="4"/>
  <c r="BG3" i="4"/>
  <c r="BM3" i="4" s="1"/>
  <c r="BG14" i="4" l="1"/>
  <c r="BG92" i="4"/>
  <c r="BM92" i="4" s="1"/>
  <c r="BG120" i="4"/>
  <c r="BG122" i="4" s="1"/>
  <c r="BM190" i="4"/>
  <c r="BG176" i="4"/>
  <c r="BM39" i="4"/>
  <c r="BG197" i="4" l="1"/>
  <c r="BM129" i="4"/>
  <c r="BM128" i="4"/>
  <c r="BM127" i="4"/>
  <c r="BM126" i="4"/>
  <c r="BM125" i="4"/>
  <c r="BM124" i="4"/>
  <c r="AZ99" i="4"/>
  <c r="AZ120" i="4" s="1"/>
  <c r="AZ122" i="4" s="1"/>
  <c r="BD180" i="4"/>
  <c r="BD183" i="4" s="1"/>
  <c r="BD172" i="4"/>
  <c r="BD171" i="4"/>
  <c r="BD170" i="4"/>
  <c r="BD169" i="4"/>
  <c r="BD168" i="4"/>
  <c r="BD167" i="4"/>
  <c r="BD176" i="4" s="1"/>
  <c r="BD152" i="4"/>
  <c r="BD151" i="4"/>
  <c r="BD150" i="4"/>
  <c r="BD149" i="4"/>
  <c r="BD148" i="4"/>
  <c r="BD147" i="4"/>
  <c r="BD146" i="4"/>
  <c r="BD145" i="4"/>
  <c r="BD144" i="4"/>
  <c r="BD143" i="4"/>
  <c r="BD142" i="4"/>
  <c r="BD141" i="4"/>
  <c r="BD140" i="4"/>
  <c r="BD139" i="4"/>
  <c r="BD138" i="4"/>
  <c r="BD137" i="4"/>
  <c r="BD136" i="4"/>
  <c r="AZ25" i="4"/>
  <c r="AZ157" i="4"/>
  <c r="BD85" i="4"/>
  <c r="BD84" i="4"/>
  <c r="BD83" i="4"/>
  <c r="BD16" i="4"/>
  <c r="BD77" i="4"/>
  <c r="BD76" i="4"/>
  <c r="BD75" i="4"/>
  <c r="BD74" i="4"/>
  <c r="BD73" i="4"/>
  <c r="BD72" i="4"/>
  <c r="BD71" i="4"/>
  <c r="BD69" i="4"/>
  <c r="BD68" i="4"/>
  <c r="BD67" i="4"/>
  <c r="BD66" i="4"/>
  <c r="BD65" i="4"/>
  <c r="BD64" i="4"/>
  <c r="BD63" i="4"/>
  <c r="BD61" i="4"/>
  <c r="BD60" i="4"/>
  <c r="BD59" i="4"/>
  <c r="BD58" i="4"/>
  <c r="BD57" i="4"/>
  <c r="BD56" i="4"/>
  <c r="BD55" i="4"/>
  <c r="BD54" i="4"/>
  <c r="BD53" i="4"/>
  <c r="BD52" i="4"/>
  <c r="BD51" i="4"/>
  <c r="BD49" i="4"/>
  <c r="CB49" i="4" s="1"/>
  <c r="BD48" i="4"/>
  <c r="CB48" i="4" s="1"/>
  <c r="BD47" i="4"/>
  <c r="CB47" i="4" s="1"/>
  <c r="BD46" i="4"/>
  <c r="CB46" i="4" s="1"/>
  <c r="BD45" i="4"/>
  <c r="CB45" i="4" s="1"/>
  <c r="BD44" i="4"/>
  <c r="CB44" i="4" s="1"/>
  <c r="BD43" i="4"/>
  <c r="CB43" i="4" s="1"/>
  <c r="BD40" i="4"/>
  <c r="BD38" i="4"/>
  <c r="BD37" i="4"/>
  <c r="BD34" i="4"/>
  <c r="BD11" i="4"/>
  <c r="BD10" i="4"/>
  <c r="BD5" i="4"/>
  <c r="BD8" i="4" s="1"/>
  <c r="AZ79" i="4"/>
  <c r="AZ92" i="4" s="1"/>
  <c r="AN79" i="4"/>
  <c r="BD18" i="4" l="1"/>
  <c r="BD92" i="4"/>
  <c r="CO51" i="5"/>
  <c r="BD13" i="4"/>
  <c r="BD14" i="4" s="1"/>
  <c r="BD197" i="4" l="1"/>
  <c r="BM49" i="4"/>
  <c r="BM48" i="4"/>
  <c r="BM47" i="4"/>
  <c r="BM46" i="4"/>
  <c r="BM45" i="4"/>
  <c r="BM44" i="4"/>
  <c r="BM43" i="4"/>
  <c r="CY51" i="5" l="1"/>
  <c r="BM79" i="4"/>
  <c r="BK165" i="4"/>
  <c r="BK161" i="4"/>
  <c r="BW161" i="4" s="1"/>
  <c r="BK157" i="4"/>
  <c r="BW157" i="4" s="1"/>
  <c r="BK135" i="4"/>
  <c r="BW135" i="4" s="1"/>
  <c r="BW13" i="4"/>
  <c r="BS8" i="4"/>
  <c r="K6" i="4"/>
  <c r="M6" i="4"/>
  <c r="S6" i="4"/>
  <c r="U6" i="4"/>
  <c r="AA6" i="4"/>
  <c r="AS6" i="4"/>
  <c r="AX6" i="4"/>
  <c r="AJ197" i="4"/>
  <c r="AV79" i="4"/>
  <c r="AV113" i="4"/>
  <c r="BD195" i="4"/>
  <c r="BD194" i="4"/>
  <c r="BD193" i="4"/>
  <c r="BD192" i="4"/>
  <c r="BD191" i="4"/>
  <c r="AZ33" i="4"/>
  <c r="BW165" i="4" l="1"/>
  <c r="BK176" i="4"/>
  <c r="BM99" i="4"/>
  <c r="BW99" i="4"/>
  <c r="BS183" i="4"/>
  <c r="BW183" i="4"/>
  <c r="BW106" i="4"/>
  <c r="BM13" i="4"/>
  <c r="BK14" i="4"/>
  <c r="BS13" i="4"/>
  <c r="BM165" i="4"/>
  <c r="BS165" i="4"/>
  <c r="BM157" i="4"/>
  <c r="BS157" i="4"/>
  <c r="BM161" i="4"/>
  <c r="BS161" i="4"/>
  <c r="BS39" i="5" s="1"/>
  <c r="BM135" i="4"/>
  <c r="BS135" i="4"/>
  <c r="BM183" i="4"/>
  <c r="BM106" i="4"/>
  <c r="BM176" i="4" l="1"/>
  <c r="BW176" i="4"/>
  <c r="BS14" i="4"/>
  <c r="BW14" i="4"/>
  <c r="BW122" i="4"/>
  <c r="BW120" i="4"/>
  <c r="BS120" i="4"/>
  <c r="BS122" i="4" s="1"/>
  <c r="BS176" i="4"/>
  <c r="BM120" i="4"/>
  <c r="BM122" i="4" s="1"/>
  <c r="AN92" i="4"/>
  <c r="AX178" i="4"/>
  <c r="AN173" i="4"/>
  <c r="AN135" i="4"/>
  <c r="AN157" i="4"/>
  <c r="AN161" i="4"/>
  <c r="AN165" i="4"/>
  <c r="AN171" i="4"/>
  <c r="AX171" i="4" s="1"/>
  <c r="AZ183" i="4"/>
  <c r="BA45" i="5" s="1"/>
  <c r="AZ165" i="4"/>
  <c r="AZ161" i="4"/>
  <c r="AX196" i="4"/>
  <c r="AS196" i="4"/>
  <c r="Y196" i="4"/>
  <c r="W196" i="4"/>
  <c r="Q196" i="4"/>
  <c r="O196" i="4"/>
  <c r="O50" i="5" s="1"/>
  <c r="I196" i="4"/>
  <c r="G196" i="4"/>
  <c r="AR195" i="4"/>
  <c r="AP195" i="4"/>
  <c r="AS195" i="4" s="1"/>
  <c r="AA195" i="4"/>
  <c r="U195" i="4"/>
  <c r="S195" i="4"/>
  <c r="M195" i="4"/>
  <c r="K195" i="4"/>
  <c r="AR194" i="4"/>
  <c r="AP194" i="4"/>
  <c r="AS194" i="4" s="1"/>
  <c r="AA194" i="4"/>
  <c r="U194" i="4"/>
  <c r="S194" i="4"/>
  <c r="M194" i="4"/>
  <c r="K194" i="4"/>
  <c r="AR193" i="4"/>
  <c r="AP193" i="4"/>
  <c r="AN193" i="4" s="1"/>
  <c r="AX193" i="4" s="1"/>
  <c r="AA193" i="4"/>
  <c r="U193" i="4"/>
  <c r="S193" i="4"/>
  <c r="M193" i="4"/>
  <c r="K193" i="4"/>
  <c r="AR192" i="4"/>
  <c r="AP192" i="4"/>
  <c r="AN192" i="4" s="1"/>
  <c r="AA192" i="4"/>
  <c r="U192" i="4"/>
  <c r="S192" i="4"/>
  <c r="M192" i="4"/>
  <c r="K192" i="4"/>
  <c r="AR191" i="4"/>
  <c r="AP191" i="4"/>
  <c r="AS191" i="4" s="1"/>
  <c r="AA191" i="4"/>
  <c r="U191" i="4"/>
  <c r="S191" i="4"/>
  <c r="M191" i="4"/>
  <c r="K191" i="4"/>
  <c r="AX190" i="4"/>
  <c r="AS190" i="4"/>
  <c r="AR190" i="4"/>
  <c r="AA190" i="4"/>
  <c r="U190" i="4"/>
  <c r="S190" i="4"/>
  <c r="M190" i="4"/>
  <c r="K190" i="4"/>
  <c r="AX186" i="4"/>
  <c r="AS186" i="4"/>
  <c r="AR186" i="4"/>
  <c r="AA186" i="4"/>
  <c r="U186" i="4"/>
  <c r="S186" i="4"/>
  <c r="M186" i="4"/>
  <c r="K186" i="4"/>
  <c r="AX185" i="4"/>
  <c r="AX189" i="4" s="1"/>
  <c r="AS185" i="4"/>
  <c r="AR185" i="4"/>
  <c r="AR189" i="4" s="1"/>
  <c r="AA185" i="4"/>
  <c r="U185" i="4"/>
  <c r="S185" i="4"/>
  <c r="M185" i="4"/>
  <c r="K185" i="4"/>
  <c r="AH25" i="4"/>
  <c r="AF25" i="4"/>
  <c r="AF122" i="4" s="1"/>
  <c r="AD25" i="4"/>
  <c r="AD122" i="4" s="1"/>
  <c r="Y25" i="4"/>
  <c r="Q25" i="4"/>
  <c r="O25" i="4"/>
  <c r="I25" i="4"/>
  <c r="G25" i="4"/>
  <c r="AX24" i="4"/>
  <c r="AS24" i="4"/>
  <c r="AR24" i="4"/>
  <c r="AA24" i="4"/>
  <c r="U24" i="4"/>
  <c r="S24" i="4"/>
  <c r="M24" i="4"/>
  <c r="K24" i="4"/>
  <c r="AX22" i="4"/>
  <c r="AS22" i="4"/>
  <c r="AR22" i="4"/>
  <c r="AA22" i="4"/>
  <c r="U22" i="4"/>
  <c r="S22" i="4"/>
  <c r="M22" i="4"/>
  <c r="K22" i="4"/>
  <c r="AV25" i="4"/>
  <c r="AV33" i="4" s="1"/>
  <c r="W25" i="4"/>
  <c r="AS21" i="4"/>
  <c r="AL183" i="4"/>
  <c r="Y183" i="4"/>
  <c r="W183" i="4"/>
  <c r="Q183" i="4"/>
  <c r="O183" i="4"/>
  <c r="I183" i="4"/>
  <c r="G183" i="4"/>
  <c r="AX182" i="4"/>
  <c r="AS182" i="4"/>
  <c r="AR182" i="4"/>
  <c r="AA182" i="4"/>
  <c r="U182" i="4"/>
  <c r="S182" i="4"/>
  <c r="M182" i="4"/>
  <c r="K182" i="4"/>
  <c r="AX181" i="4"/>
  <c r="AR181" i="4"/>
  <c r="AP181" i="4"/>
  <c r="AS181" i="4" s="1"/>
  <c r="AA181" i="4"/>
  <c r="U181" i="4"/>
  <c r="S181" i="4"/>
  <c r="M181" i="4"/>
  <c r="K181" i="4"/>
  <c r="AX180" i="4"/>
  <c r="AS180" i="4"/>
  <c r="AR180" i="4"/>
  <c r="AA180" i="4"/>
  <c r="U180" i="4"/>
  <c r="S180" i="4"/>
  <c r="M180" i="4"/>
  <c r="K180" i="4"/>
  <c r="AX179" i="4"/>
  <c r="AR179" i="4"/>
  <c r="AP179" i="4"/>
  <c r="AS179" i="4" s="1"/>
  <c r="AA179" i="4"/>
  <c r="U179" i="4"/>
  <c r="S179" i="4"/>
  <c r="M179" i="4"/>
  <c r="K179" i="4"/>
  <c r="AS178" i="4"/>
  <c r="AR178" i="4"/>
  <c r="AA178" i="4"/>
  <c r="U178" i="4"/>
  <c r="S178" i="4"/>
  <c r="M178" i="4"/>
  <c r="K178" i="4"/>
  <c r="AX177" i="4"/>
  <c r="AX175" i="4"/>
  <c r="AS175" i="4"/>
  <c r="AR175" i="4"/>
  <c r="AA175" i="4"/>
  <c r="U175" i="4"/>
  <c r="S175" i="4"/>
  <c r="M175" i="4"/>
  <c r="M43" i="5" s="1"/>
  <c r="K175" i="4"/>
  <c r="AX174" i="4"/>
  <c r="AS174" i="4"/>
  <c r="AR174" i="4"/>
  <c r="W174" i="4"/>
  <c r="AA174" i="4" s="1"/>
  <c r="U174" i="4"/>
  <c r="S174" i="4"/>
  <c r="M174" i="4"/>
  <c r="K174" i="4"/>
  <c r="AS173" i="4"/>
  <c r="AL173" i="4"/>
  <c r="Y173" i="4"/>
  <c r="W173" i="4"/>
  <c r="Q173" i="4"/>
  <c r="O173" i="4"/>
  <c r="I173" i="4"/>
  <c r="G173" i="4"/>
  <c r="AR172" i="4"/>
  <c r="AP172" i="4"/>
  <c r="AS172" i="4" s="1"/>
  <c r="AA172" i="4"/>
  <c r="U172" i="4"/>
  <c r="S172" i="4"/>
  <c r="M172" i="4"/>
  <c r="K172" i="4"/>
  <c r="AS171" i="4"/>
  <c r="AR170" i="4"/>
  <c r="AP170" i="4"/>
  <c r="AN170" i="4" s="1"/>
  <c r="AA170" i="4"/>
  <c r="U170" i="4"/>
  <c r="S170" i="4"/>
  <c r="M170" i="4"/>
  <c r="K170" i="4"/>
  <c r="AR169" i="4"/>
  <c r="AP169" i="4"/>
  <c r="AS169" i="4" s="1"/>
  <c r="AA169" i="4"/>
  <c r="U169" i="4"/>
  <c r="S169" i="4"/>
  <c r="M169" i="4"/>
  <c r="K169" i="4"/>
  <c r="AX168" i="4"/>
  <c r="AS168" i="4"/>
  <c r="AX167" i="4"/>
  <c r="AS167" i="4"/>
  <c r="AX166" i="4"/>
  <c r="AR166" i="4"/>
  <c r="AP166" i="4"/>
  <c r="AS166" i="4" s="1"/>
  <c r="AA166" i="4"/>
  <c r="U166" i="4"/>
  <c r="S166" i="4"/>
  <c r="M166" i="4"/>
  <c r="K166" i="4"/>
  <c r="AV165" i="4"/>
  <c r="AP165" i="4"/>
  <c r="AS165" i="4" s="1"/>
  <c r="AL165" i="4"/>
  <c r="AH165" i="4"/>
  <c r="AF165" i="4"/>
  <c r="AD165" i="4"/>
  <c r="Y165" i="4"/>
  <c r="W165" i="4"/>
  <c r="Q165" i="4"/>
  <c r="O165" i="4"/>
  <c r="I165" i="4"/>
  <c r="G165" i="4"/>
  <c r="AX164" i="4"/>
  <c r="AS164" i="4"/>
  <c r="AR164" i="4"/>
  <c r="AA164" i="4"/>
  <c r="U164" i="4"/>
  <c r="S164" i="4"/>
  <c r="M164" i="4"/>
  <c r="K164" i="4"/>
  <c r="AX163" i="4"/>
  <c r="AS163" i="4"/>
  <c r="AR163" i="4"/>
  <c r="AA163" i="4"/>
  <c r="U163" i="4"/>
  <c r="S163" i="4"/>
  <c r="M163" i="4"/>
  <c r="K163" i="4"/>
  <c r="AX162" i="4"/>
  <c r="AV161" i="4"/>
  <c r="AL161" i="4"/>
  <c r="AH161" i="4"/>
  <c r="AF161" i="4"/>
  <c r="AD161" i="4"/>
  <c r="Y161" i="4"/>
  <c r="W161" i="4"/>
  <c r="Q161" i="4"/>
  <c r="O161" i="4"/>
  <c r="I161" i="4"/>
  <c r="G161" i="4"/>
  <c r="AX160" i="4"/>
  <c r="AS160" i="4"/>
  <c r="AR160" i="4"/>
  <c r="AA160" i="4"/>
  <c r="U160" i="4"/>
  <c r="S160" i="4"/>
  <c r="M160" i="4"/>
  <c r="K160" i="4"/>
  <c r="AX159" i="4"/>
  <c r="AR159" i="4"/>
  <c r="AP159" i="4"/>
  <c r="AS159" i="4" s="1"/>
  <c r="AA159" i="4"/>
  <c r="U159" i="4"/>
  <c r="S159" i="4"/>
  <c r="M159" i="4"/>
  <c r="K159" i="4"/>
  <c r="AX158" i="4"/>
  <c r="AV157" i="4"/>
  <c r="AP157" i="4"/>
  <c r="AS157" i="4" s="1"/>
  <c r="AL157" i="4"/>
  <c r="AH157" i="4"/>
  <c r="AF157" i="4"/>
  <c r="AD157" i="4"/>
  <c r="Y157" i="4"/>
  <c r="W157" i="4"/>
  <c r="Q157" i="4"/>
  <c r="O157" i="4"/>
  <c r="I157" i="4"/>
  <c r="G157" i="4"/>
  <c r="AX156" i="4"/>
  <c r="AS156" i="4"/>
  <c r="AR156" i="4"/>
  <c r="AA156" i="4"/>
  <c r="U156" i="4"/>
  <c r="S156" i="4"/>
  <c r="M156" i="4"/>
  <c r="K156" i="4"/>
  <c r="AX155" i="4"/>
  <c r="AS155" i="4"/>
  <c r="AR155" i="4"/>
  <c r="AA155" i="4"/>
  <c r="U155" i="4"/>
  <c r="S155" i="4"/>
  <c r="M155" i="4"/>
  <c r="K155" i="4"/>
  <c r="AX154" i="4"/>
  <c r="AX153" i="4"/>
  <c r="AS153" i="4"/>
  <c r="Y153" i="4"/>
  <c r="W153" i="4"/>
  <c r="Q153" i="4"/>
  <c r="O153" i="4"/>
  <c r="I153" i="4"/>
  <c r="G153" i="4"/>
  <c r="AR152" i="4"/>
  <c r="AP152" i="4"/>
  <c r="AS152" i="4" s="1"/>
  <c r="AA152" i="4"/>
  <c r="U152" i="4"/>
  <c r="S152" i="4"/>
  <c r="M152" i="4"/>
  <c r="K152" i="4"/>
  <c r="AR151" i="4"/>
  <c r="AP151" i="4"/>
  <c r="AN151" i="4" s="1"/>
  <c r="AA151" i="4"/>
  <c r="U151" i="4"/>
  <c r="S151" i="4"/>
  <c r="M151" i="4"/>
  <c r="K151" i="4"/>
  <c r="AR150" i="4"/>
  <c r="AP150" i="4"/>
  <c r="AS150" i="4" s="1"/>
  <c r="AA150" i="4"/>
  <c r="U150" i="4"/>
  <c r="S150" i="4"/>
  <c r="M150" i="4"/>
  <c r="K150" i="4"/>
  <c r="AR149" i="4"/>
  <c r="AP149" i="4"/>
  <c r="AN149" i="4" s="1"/>
  <c r="AA149" i="4"/>
  <c r="U149" i="4"/>
  <c r="S149" i="4"/>
  <c r="M149" i="4"/>
  <c r="K149" i="4"/>
  <c r="K36" i="5" s="1"/>
  <c r="AR148" i="4"/>
  <c r="AP148" i="4"/>
  <c r="AS148" i="4" s="1"/>
  <c r="AA148" i="4"/>
  <c r="U148" i="4"/>
  <c r="S148" i="4"/>
  <c r="M148" i="4"/>
  <c r="K148" i="4"/>
  <c r="AR147" i="4"/>
  <c r="AP147" i="4"/>
  <c r="AN147" i="4" s="1"/>
  <c r="AA147" i="4"/>
  <c r="U147" i="4"/>
  <c r="S147" i="4"/>
  <c r="M147" i="4"/>
  <c r="K147" i="4"/>
  <c r="AR146" i="4"/>
  <c r="AP146" i="4"/>
  <c r="AS146" i="4" s="1"/>
  <c r="AA146" i="4"/>
  <c r="U146" i="4"/>
  <c r="S146" i="4"/>
  <c r="M146" i="4"/>
  <c r="K146" i="4"/>
  <c r="AR145" i="4"/>
  <c r="AP145" i="4"/>
  <c r="AS145" i="4" s="1"/>
  <c r="AA145" i="4"/>
  <c r="U145" i="4"/>
  <c r="S145" i="4"/>
  <c r="M145" i="4"/>
  <c r="K145" i="4"/>
  <c r="AR144" i="4"/>
  <c r="AP144" i="4"/>
  <c r="AN144" i="4" s="1"/>
  <c r="AA144" i="4"/>
  <c r="U144" i="4"/>
  <c r="S144" i="4"/>
  <c r="M144" i="4"/>
  <c r="K144" i="4"/>
  <c r="AR143" i="4"/>
  <c r="AP143" i="4"/>
  <c r="AN143" i="4" s="1"/>
  <c r="AA143" i="4"/>
  <c r="U143" i="4"/>
  <c r="S143" i="4"/>
  <c r="M143" i="4"/>
  <c r="K143" i="4"/>
  <c r="AR142" i="4"/>
  <c r="AP142" i="4"/>
  <c r="AS142" i="4" s="1"/>
  <c r="AA142" i="4"/>
  <c r="U142" i="4"/>
  <c r="S142" i="4"/>
  <c r="M142" i="4"/>
  <c r="K142" i="4"/>
  <c r="AP141" i="4"/>
  <c r="AN141" i="4" s="1"/>
  <c r="AR140" i="4"/>
  <c r="AP140" i="4"/>
  <c r="AS140" i="4" s="1"/>
  <c r="AA140" i="4"/>
  <c r="U140" i="4"/>
  <c r="S140" i="4"/>
  <c r="M140" i="4"/>
  <c r="K140" i="4"/>
  <c r="AR139" i="4"/>
  <c r="AP139" i="4"/>
  <c r="AS139" i="4" s="1"/>
  <c r="AA139" i="4"/>
  <c r="U139" i="4"/>
  <c r="S139" i="4"/>
  <c r="M139" i="4"/>
  <c r="K139" i="4"/>
  <c r="AR138" i="4"/>
  <c r="AP138" i="4"/>
  <c r="AN138" i="4" s="1"/>
  <c r="AA138" i="4"/>
  <c r="U138" i="4"/>
  <c r="S138" i="4"/>
  <c r="M138" i="4"/>
  <c r="K138" i="4"/>
  <c r="AR137" i="4"/>
  <c r="AP137" i="4"/>
  <c r="AN137" i="4" s="1"/>
  <c r="AA137" i="4"/>
  <c r="U137" i="4"/>
  <c r="S137" i="4"/>
  <c r="M137" i="4"/>
  <c r="K137" i="4"/>
  <c r="AR136" i="4"/>
  <c r="AP136" i="4"/>
  <c r="AS136" i="4" s="1"/>
  <c r="AA136" i="4"/>
  <c r="U136" i="4"/>
  <c r="S136" i="4"/>
  <c r="M136" i="4"/>
  <c r="K136" i="4"/>
  <c r="AV135" i="4"/>
  <c r="AP135" i="4"/>
  <c r="AS135" i="4" s="1"/>
  <c r="AL135" i="4"/>
  <c r="AH135" i="4"/>
  <c r="AF135" i="4"/>
  <c r="Y135" i="4"/>
  <c r="Q135" i="4"/>
  <c r="O135" i="4"/>
  <c r="I135" i="4"/>
  <c r="G135" i="4"/>
  <c r="AX134" i="4"/>
  <c r="AS134" i="4"/>
  <c r="AR134" i="4"/>
  <c r="W134" i="4"/>
  <c r="AA134" i="4" s="1"/>
  <c r="U134" i="4"/>
  <c r="S134" i="4"/>
  <c r="M134" i="4"/>
  <c r="K134" i="4"/>
  <c r="AX133" i="4"/>
  <c r="AS133" i="4"/>
  <c r="AR133" i="4"/>
  <c r="AA133" i="4"/>
  <c r="U133" i="4"/>
  <c r="S133" i="4"/>
  <c r="M133" i="4"/>
  <c r="K133" i="4"/>
  <c r="AX132" i="4"/>
  <c r="AX131" i="4"/>
  <c r="AV130" i="4"/>
  <c r="BM130" i="4" s="1"/>
  <c r="AN130" i="4"/>
  <c r="AL130" i="4"/>
  <c r="AH130" i="4"/>
  <c r="AF130" i="4"/>
  <c r="AD130" i="4"/>
  <c r="Y130" i="4"/>
  <c r="W130" i="4"/>
  <c r="Q130" i="4"/>
  <c r="O130" i="4"/>
  <c r="I130" i="4"/>
  <c r="G130" i="4"/>
  <c r="AX129" i="4"/>
  <c r="AS129" i="4"/>
  <c r="AR129" i="4"/>
  <c r="AA129" i="4"/>
  <c r="U129" i="4"/>
  <c r="S129" i="4"/>
  <c r="M129" i="4"/>
  <c r="K129" i="4"/>
  <c r="AX128" i="4"/>
  <c r="AR128" i="4"/>
  <c r="AP128" i="4"/>
  <c r="AS128" i="4" s="1"/>
  <c r="AA128" i="4"/>
  <c r="U128" i="4"/>
  <c r="S128" i="4"/>
  <c r="M128" i="4"/>
  <c r="K128" i="4"/>
  <c r="AX127" i="4"/>
  <c r="AR127" i="4"/>
  <c r="AP127" i="4"/>
  <c r="AS127" i="4" s="1"/>
  <c r="AA127" i="4"/>
  <c r="U127" i="4"/>
  <c r="S127" i="4"/>
  <c r="M127" i="4"/>
  <c r="K127" i="4"/>
  <c r="AX126" i="4"/>
  <c r="AR126" i="4"/>
  <c r="AP126" i="4"/>
  <c r="AA126" i="4"/>
  <c r="U126" i="4"/>
  <c r="S126" i="4"/>
  <c r="M126" i="4"/>
  <c r="K126" i="4"/>
  <c r="AX125" i="4"/>
  <c r="AS125" i="4"/>
  <c r="AR125" i="4"/>
  <c r="AA125" i="4"/>
  <c r="U125" i="4"/>
  <c r="S125" i="4"/>
  <c r="M125" i="4"/>
  <c r="K125" i="4"/>
  <c r="AX124" i="4"/>
  <c r="AS124" i="4"/>
  <c r="AR124" i="4"/>
  <c r="AA124" i="4"/>
  <c r="U124" i="4"/>
  <c r="S124" i="4"/>
  <c r="M124" i="4"/>
  <c r="K124" i="4"/>
  <c r="AX123" i="4"/>
  <c r="AX121" i="4"/>
  <c r="AS121" i="4"/>
  <c r="AR121" i="4"/>
  <c r="W121" i="4"/>
  <c r="AA121" i="4" s="1"/>
  <c r="U121" i="4"/>
  <c r="S121" i="4"/>
  <c r="M121" i="4"/>
  <c r="K121" i="4"/>
  <c r="AP113" i="4"/>
  <c r="AS113" i="4" s="1"/>
  <c r="AN113" i="4"/>
  <c r="AL113" i="4"/>
  <c r="AH113" i="4"/>
  <c r="AH120" i="4" s="1"/>
  <c r="AD113" i="4"/>
  <c r="Y113" i="4"/>
  <c r="Y119" i="4" s="1"/>
  <c r="W113" i="4"/>
  <c r="W119" i="4" s="1"/>
  <c r="Q113" i="4"/>
  <c r="Q119" i="4" s="1"/>
  <c r="O113" i="4"/>
  <c r="O119" i="4" s="1"/>
  <c r="I113" i="4"/>
  <c r="I119" i="4" s="1"/>
  <c r="G113" i="4"/>
  <c r="G119" i="4" s="1"/>
  <c r="AX108" i="4"/>
  <c r="AS108" i="4"/>
  <c r="AR108" i="4"/>
  <c r="AA108" i="4"/>
  <c r="U108" i="4"/>
  <c r="S108" i="4"/>
  <c r="M108" i="4"/>
  <c r="K108" i="4"/>
  <c r="AX109" i="4"/>
  <c r="AS109" i="4"/>
  <c r="AR109" i="4"/>
  <c r="AA109" i="4"/>
  <c r="U109" i="4"/>
  <c r="S109" i="4"/>
  <c r="M109" i="4"/>
  <c r="K109" i="4"/>
  <c r="AX110" i="4"/>
  <c r="AS110" i="4"/>
  <c r="AR110" i="4"/>
  <c r="AA110" i="4"/>
  <c r="U110" i="4"/>
  <c r="S110" i="4"/>
  <c r="M110" i="4"/>
  <c r="K110" i="4"/>
  <c r="AX111" i="4"/>
  <c r="AS111" i="4"/>
  <c r="AR111" i="4"/>
  <c r="AA111" i="4"/>
  <c r="U111" i="4"/>
  <c r="S111" i="4"/>
  <c r="M111" i="4"/>
  <c r="K111" i="4"/>
  <c r="AX112" i="4"/>
  <c r="AS112" i="4"/>
  <c r="AR112" i="4"/>
  <c r="AA112" i="4"/>
  <c r="U112" i="4"/>
  <c r="S112" i="4"/>
  <c r="M112" i="4"/>
  <c r="K112" i="4"/>
  <c r="AX107" i="4"/>
  <c r="AP106" i="4"/>
  <c r="AS106" i="4" s="1"/>
  <c r="AN106" i="4"/>
  <c r="AL106" i="4"/>
  <c r="AD106" i="4"/>
  <c r="Y106" i="4"/>
  <c r="W106" i="4"/>
  <c r="Q106" i="4"/>
  <c r="O106" i="4"/>
  <c r="I106" i="4"/>
  <c r="G106" i="4"/>
  <c r="AX105" i="4"/>
  <c r="AS105" i="4"/>
  <c r="AR105" i="4"/>
  <c r="AA105" i="4"/>
  <c r="U105" i="4"/>
  <c r="S105" i="4"/>
  <c r="M105" i="4"/>
  <c r="K105" i="4"/>
  <c r="AV187" i="4"/>
  <c r="AV189" i="4" s="1"/>
  <c r="AX104" i="4"/>
  <c r="AS104" i="4"/>
  <c r="AR104" i="4"/>
  <c r="AA104" i="4"/>
  <c r="U104" i="4"/>
  <c r="S104" i="4"/>
  <c r="M104" i="4"/>
  <c r="K104" i="4"/>
  <c r="AX103" i="4"/>
  <c r="AS103" i="4"/>
  <c r="AR103" i="4"/>
  <c r="AA103" i="4"/>
  <c r="U103" i="4"/>
  <c r="S103" i="4"/>
  <c r="M103" i="4"/>
  <c r="K103" i="4"/>
  <c r="AX102" i="4"/>
  <c r="AS102" i="4"/>
  <c r="AR102" i="4"/>
  <c r="AA102" i="4"/>
  <c r="U102" i="4"/>
  <c r="S102" i="4"/>
  <c r="M102" i="4"/>
  <c r="K102" i="4"/>
  <c r="AX101" i="4"/>
  <c r="AS101" i="4"/>
  <c r="AR101" i="4"/>
  <c r="AA101" i="4"/>
  <c r="U101" i="4"/>
  <c r="S101" i="4"/>
  <c r="M101" i="4"/>
  <c r="K101" i="4"/>
  <c r="AX100" i="4"/>
  <c r="AV99" i="4"/>
  <c r="AP99" i="4"/>
  <c r="AS99" i="4" s="1"/>
  <c r="AL99" i="4"/>
  <c r="AX99" i="4" s="1"/>
  <c r="AD99" i="4"/>
  <c r="Y99" i="4"/>
  <c r="Q99" i="4"/>
  <c r="O99" i="4"/>
  <c r="I99" i="4"/>
  <c r="G99" i="4"/>
  <c r="AX98" i="4"/>
  <c r="AS98" i="4"/>
  <c r="AR98" i="4"/>
  <c r="W98" i="4"/>
  <c r="AA98" i="4" s="1"/>
  <c r="U98" i="4"/>
  <c r="S98" i="4"/>
  <c r="M98" i="4"/>
  <c r="K98" i="4"/>
  <c r="AX97" i="4"/>
  <c r="AS97" i="4"/>
  <c r="AR97" i="4"/>
  <c r="AA97" i="4"/>
  <c r="U97" i="4"/>
  <c r="S97" i="4"/>
  <c r="M97" i="4"/>
  <c r="K97" i="4"/>
  <c r="AX96" i="4"/>
  <c r="AS96" i="4"/>
  <c r="AR96" i="4"/>
  <c r="AA96" i="4"/>
  <c r="AA23" i="5" s="1"/>
  <c r="U96" i="4"/>
  <c r="S96" i="4"/>
  <c r="M96" i="4"/>
  <c r="K96" i="4"/>
  <c r="AX95" i="4"/>
  <c r="AS95" i="4"/>
  <c r="AR95" i="4"/>
  <c r="AA95" i="4"/>
  <c r="U95" i="4"/>
  <c r="S95" i="4"/>
  <c r="M95" i="4"/>
  <c r="K95" i="4"/>
  <c r="AX94" i="4"/>
  <c r="AW33" i="4"/>
  <c r="AH92" i="4"/>
  <c r="AX91" i="4"/>
  <c r="AS91" i="4"/>
  <c r="AR91" i="4"/>
  <c r="AA91" i="4"/>
  <c r="U91" i="4"/>
  <c r="S91" i="4"/>
  <c r="M91" i="4"/>
  <c r="K91" i="4"/>
  <c r="AX88" i="4"/>
  <c r="AS88" i="4"/>
  <c r="AR88" i="4"/>
  <c r="AA88" i="4"/>
  <c r="U88" i="4"/>
  <c r="S88" i="4"/>
  <c r="M88" i="4"/>
  <c r="K88" i="4"/>
  <c r="AX87" i="4"/>
  <c r="AS87" i="4"/>
  <c r="AR87" i="4"/>
  <c r="AA87" i="4"/>
  <c r="U87" i="4"/>
  <c r="S87" i="4"/>
  <c r="M87" i="4"/>
  <c r="K87" i="4"/>
  <c r="AV86" i="4"/>
  <c r="AV92" i="4" s="1"/>
  <c r="AP86" i="4"/>
  <c r="AS86" i="4" s="1"/>
  <c r="AL86" i="4"/>
  <c r="Y86" i="4"/>
  <c r="W86" i="4"/>
  <c r="Q86" i="4"/>
  <c r="O86" i="4"/>
  <c r="I86" i="4"/>
  <c r="G86" i="4"/>
  <c r="AX85" i="4"/>
  <c r="AS85" i="4"/>
  <c r="AR85" i="4"/>
  <c r="AA85" i="4"/>
  <c r="U85" i="4"/>
  <c r="S85" i="4"/>
  <c r="M85" i="4"/>
  <c r="K85" i="4"/>
  <c r="AX84" i="4"/>
  <c r="AS84" i="4"/>
  <c r="AR84" i="4"/>
  <c r="AR86" i="4" s="1"/>
  <c r="AA84" i="4"/>
  <c r="U84" i="4"/>
  <c r="S84" i="4"/>
  <c r="M84" i="4"/>
  <c r="K84" i="4"/>
  <c r="AS83" i="4"/>
  <c r="AX90" i="4"/>
  <c r="AS90" i="4"/>
  <c r="AR90" i="4"/>
  <c r="AF90" i="4"/>
  <c r="AA90" i="4"/>
  <c r="U90" i="4"/>
  <c r="S90" i="4"/>
  <c r="M90" i="4"/>
  <c r="K90" i="4"/>
  <c r="AX27" i="4"/>
  <c r="AX29" i="4" s="1"/>
  <c r="AP27" i="4"/>
  <c r="AX82" i="4"/>
  <c r="AS82" i="4"/>
  <c r="AR82" i="4"/>
  <c r="AA82" i="4"/>
  <c r="U82" i="4"/>
  <c r="S82" i="4"/>
  <c r="M82" i="4"/>
  <c r="K82" i="4"/>
  <c r="AX81" i="4"/>
  <c r="AS81" i="4"/>
  <c r="AR81" i="4"/>
  <c r="AA81" i="4"/>
  <c r="U81" i="4"/>
  <c r="S81" i="4"/>
  <c r="M81" i="4"/>
  <c r="K81" i="4"/>
  <c r="AX20" i="4"/>
  <c r="AS20" i="4"/>
  <c r="AR20" i="4"/>
  <c r="AA20" i="4"/>
  <c r="U20" i="4"/>
  <c r="S20" i="4"/>
  <c r="M20" i="4"/>
  <c r="K20" i="4"/>
  <c r="AX16" i="4"/>
  <c r="AX18" i="4" s="1"/>
  <c r="AS16" i="4"/>
  <c r="AS18" i="4" s="1"/>
  <c r="AR16" i="4"/>
  <c r="AR18" i="4" s="1"/>
  <c r="AA16" i="4"/>
  <c r="U16" i="4"/>
  <c r="S16" i="4"/>
  <c r="M16" i="4"/>
  <c r="K16" i="4"/>
  <c r="AX80" i="4"/>
  <c r="AS80" i="4"/>
  <c r="AR80" i="4"/>
  <c r="AA80" i="4"/>
  <c r="U80" i="4"/>
  <c r="S80" i="4"/>
  <c r="M80" i="4"/>
  <c r="K80" i="4"/>
  <c r="AP79" i="4"/>
  <c r="AS79" i="4" s="1"/>
  <c r="AS17" i="5" s="1"/>
  <c r="AF79" i="4"/>
  <c r="AD79" i="4"/>
  <c r="AD92" i="4" s="1"/>
  <c r="AX78" i="4"/>
  <c r="AS78" i="4"/>
  <c r="Y78" i="4"/>
  <c r="W78" i="4"/>
  <c r="Q78" i="4"/>
  <c r="O78" i="4"/>
  <c r="I78" i="4"/>
  <c r="G78" i="4"/>
  <c r="AR77" i="4"/>
  <c r="AP77" i="4"/>
  <c r="AS77" i="4" s="1"/>
  <c r="AA77" i="4"/>
  <c r="U77" i="4"/>
  <c r="S77" i="4"/>
  <c r="M77" i="4"/>
  <c r="K77" i="4"/>
  <c r="AP76" i="4"/>
  <c r="AN76" i="4" s="1"/>
  <c r="AX76" i="4" s="1"/>
  <c r="AP75" i="4"/>
  <c r="AS75" i="4" s="1"/>
  <c r="AP74" i="4"/>
  <c r="AN74" i="4" s="1"/>
  <c r="AP73" i="4"/>
  <c r="AN73" i="4" s="1"/>
  <c r="AP72" i="4"/>
  <c r="AN72" i="4" s="1"/>
  <c r="AX72" i="4" s="1"/>
  <c r="AP71" i="4"/>
  <c r="AS71" i="4" s="1"/>
  <c r="AX70" i="4"/>
  <c r="AS70" i="4"/>
  <c r="Y70" i="4"/>
  <c r="W70" i="4"/>
  <c r="Q70" i="4"/>
  <c r="O70" i="4"/>
  <c r="I70" i="4"/>
  <c r="G70" i="4"/>
  <c r="AR69" i="4"/>
  <c r="AP69" i="4"/>
  <c r="AS69" i="4" s="1"/>
  <c r="AA69" i="4"/>
  <c r="U69" i="4"/>
  <c r="S69" i="4"/>
  <c r="M69" i="4"/>
  <c r="K69" i="4"/>
  <c r="AP68" i="4"/>
  <c r="AS68" i="4" s="1"/>
  <c r="AP67" i="4"/>
  <c r="AS67" i="4" s="1"/>
  <c r="AP66" i="4"/>
  <c r="AN66" i="4" s="1"/>
  <c r="AP65" i="4"/>
  <c r="AN65" i="4" s="1"/>
  <c r="AP64" i="4"/>
  <c r="AN64" i="4" s="1"/>
  <c r="AP63" i="4"/>
  <c r="AS63" i="4" s="1"/>
  <c r="AX62" i="4"/>
  <c r="AS62" i="4"/>
  <c r="Y62" i="4"/>
  <c r="W62" i="4"/>
  <c r="Q62" i="4"/>
  <c r="O62" i="4"/>
  <c r="I62" i="4"/>
  <c r="G62" i="4"/>
  <c r="AR61" i="4"/>
  <c r="AP61" i="4"/>
  <c r="AS61" i="4" s="1"/>
  <c r="AA61" i="4"/>
  <c r="U61" i="4"/>
  <c r="S61" i="4"/>
  <c r="M61" i="4"/>
  <c r="K61" i="4"/>
  <c r="AP60" i="4"/>
  <c r="AN60" i="4" s="1"/>
  <c r="AX60" i="4" s="1"/>
  <c r="AP59" i="4"/>
  <c r="AS59" i="4" s="1"/>
  <c r="AP58" i="4"/>
  <c r="AN58" i="4" s="1"/>
  <c r="AP57" i="4"/>
  <c r="AN57" i="4" s="1"/>
  <c r="AP56" i="4"/>
  <c r="AS56" i="4" s="1"/>
  <c r="AP55" i="4"/>
  <c r="AS55" i="4" s="1"/>
  <c r="AP54" i="4"/>
  <c r="AS54" i="4" s="1"/>
  <c r="AP53" i="4"/>
  <c r="AN53" i="4" s="1"/>
  <c r="AP52" i="4"/>
  <c r="AS52" i="4" s="1"/>
  <c r="AP51" i="4"/>
  <c r="AS51" i="4" s="1"/>
  <c r="AS50" i="4"/>
  <c r="AL50" i="4"/>
  <c r="Y50" i="4"/>
  <c r="AH49" i="4"/>
  <c r="BR51" i="5" s="1"/>
  <c r="Y49" i="4"/>
  <c r="W49" i="4"/>
  <c r="Q49" i="4"/>
  <c r="O49" i="4"/>
  <c r="I49" i="4"/>
  <c r="G49" i="4"/>
  <c r="G50" i="4" s="1"/>
  <c r="AQ51" i="5" s="1"/>
  <c r="AR48" i="4"/>
  <c r="AP48" i="4"/>
  <c r="AS48" i="4" s="1"/>
  <c r="AA48" i="4"/>
  <c r="U48" i="4"/>
  <c r="S48" i="4"/>
  <c r="M48" i="4"/>
  <c r="K48" i="4"/>
  <c r="AR47" i="4"/>
  <c r="AP47" i="4"/>
  <c r="AS47" i="4" s="1"/>
  <c r="AA47" i="4"/>
  <c r="U47" i="4"/>
  <c r="S47" i="4"/>
  <c r="M47" i="4"/>
  <c r="K47" i="4"/>
  <c r="AS46" i="4"/>
  <c r="AN46" i="4"/>
  <c r="AX46" i="4" s="1"/>
  <c r="BU46" i="4" s="1"/>
  <c r="CF46" i="4" s="1"/>
  <c r="CH46" i="4" s="1"/>
  <c r="AR45" i="4"/>
  <c r="AP45" i="4"/>
  <c r="AN45" i="4" s="1"/>
  <c r="AA45" i="4"/>
  <c r="U45" i="4"/>
  <c r="S45" i="4"/>
  <c r="M45" i="4"/>
  <c r="K45" i="4"/>
  <c r="AR44" i="4"/>
  <c r="AP44" i="4"/>
  <c r="AS44" i="4" s="1"/>
  <c r="AA44" i="4"/>
  <c r="U44" i="4"/>
  <c r="S44" i="4"/>
  <c r="M44" i="4"/>
  <c r="K44" i="4"/>
  <c r="AX43" i="4"/>
  <c r="BU43" i="4" s="1"/>
  <c r="CF43" i="4" s="1"/>
  <c r="CH43" i="4" s="1"/>
  <c r="AS43" i="4"/>
  <c r="AX23" i="4"/>
  <c r="AS23" i="4"/>
  <c r="AR23" i="4"/>
  <c r="AA23" i="4"/>
  <c r="U23" i="4"/>
  <c r="S23" i="4"/>
  <c r="M23" i="4"/>
  <c r="K23" i="4"/>
  <c r="AX42" i="4"/>
  <c r="AS42" i="4"/>
  <c r="AR42" i="4"/>
  <c r="AA42" i="4"/>
  <c r="U42" i="4"/>
  <c r="S42" i="4"/>
  <c r="M42" i="4"/>
  <c r="K42" i="4"/>
  <c r="AS41" i="4"/>
  <c r="AX40" i="4"/>
  <c r="AR40" i="4"/>
  <c r="AP40" i="4"/>
  <c r="AS40" i="4" s="1"/>
  <c r="AA40" i="4"/>
  <c r="U40" i="4"/>
  <c r="S40" i="4"/>
  <c r="M40" i="4"/>
  <c r="K40" i="4"/>
  <c r="AX39" i="4"/>
  <c r="Y39" i="4"/>
  <c r="W39" i="4"/>
  <c r="Q39" i="4"/>
  <c r="O39" i="4"/>
  <c r="I39" i="4"/>
  <c r="G39" i="4"/>
  <c r="AP38" i="4"/>
  <c r="AS38" i="4" s="1"/>
  <c r="AX37" i="4"/>
  <c r="AS37" i="4"/>
  <c r="AX36" i="4"/>
  <c r="AR36" i="4"/>
  <c r="AP36" i="4"/>
  <c r="AS36" i="4" s="1"/>
  <c r="AA36" i="4"/>
  <c r="U36" i="4"/>
  <c r="S36" i="4"/>
  <c r="M36" i="4"/>
  <c r="K36" i="4"/>
  <c r="AX35" i="4"/>
  <c r="AS35" i="4"/>
  <c r="AR35" i="4"/>
  <c r="AA35" i="4"/>
  <c r="U35" i="4"/>
  <c r="S35" i="4"/>
  <c r="M35" i="4"/>
  <c r="K35" i="4"/>
  <c r="AX34" i="4"/>
  <c r="AV8" i="4"/>
  <c r="AS8" i="4"/>
  <c r="AR8" i="4"/>
  <c r="AN8" i="4"/>
  <c r="AL8" i="4"/>
  <c r="AH8" i="4"/>
  <c r="AF8" i="4"/>
  <c r="AD8" i="4"/>
  <c r="Y8" i="4"/>
  <c r="W8" i="4"/>
  <c r="Q8" i="4"/>
  <c r="O8" i="4"/>
  <c r="I8" i="4"/>
  <c r="G8" i="4"/>
  <c r="AX7" i="4"/>
  <c r="AS7" i="4"/>
  <c r="AA7" i="4"/>
  <c r="U7" i="4"/>
  <c r="S7" i="4"/>
  <c r="M7" i="4"/>
  <c r="K7" i="4"/>
  <c r="AX5" i="4"/>
  <c r="AS5" i="4"/>
  <c r="AA5" i="4"/>
  <c r="U5" i="4"/>
  <c r="S5" i="4"/>
  <c r="M5" i="4"/>
  <c r="K5" i="4"/>
  <c r="AV13" i="4"/>
  <c r="AS13" i="4"/>
  <c r="AR13" i="4"/>
  <c r="AN13" i="4"/>
  <c r="AL13" i="4"/>
  <c r="AH13" i="4"/>
  <c r="AF13" i="4"/>
  <c r="AD13" i="4"/>
  <c r="Y13" i="4"/>
  <c r="W13" i="4"/>
  <c r="Q13" i="4"/>
  <c r="O13" i="4"/>
  <c r="I13" i="4"/>
  <c r="G13" i="4"/>
  <c r="AX12" i="4"/>
  <c r="AS12" i="4"/>
  <c r="AA12" i="4"/>
  <c r="U12" i="4"/>
  <c r="S12" i="4"/>
  <c r="M12" i="4"/>
  <c r="K12" i="4"/>
  <c r="AX11" i="4"/>
  <c r="AS11" i="4"/>
  <c r="AA11" i="4"/>
  <c r="U11" i="4"/>
  <c r="S11" i="4"/>
  <c r="M11" i="4"/>
  <c r="K11" i="4"/>
  <c r="AX10" i="4"/>
  <c r="AS10" i="4"/>
  <c r="AA10" i="4"/>
  <c r="U10" i="4"/>
  <c r="S10" i="4"/>
  <c r="M10" i="4"/>
  <c r="K10" i="4"/>
  <c r="AX3" i="4"/>
  <c r="AS3" i="4"/>
  <c r="AA3" i="4"/>
  <c r="U3" i="4"/>
  <c r="S3" i="4"/>
  <c r="M3" i="4"/>
  <c r="K3" i="4"/>
  <c r="AR165" i="4" l="1"/>
  <c r="BW43" i="4"/>
  <c r="BW46" i="4"/>
  <c r="BW197" i="4"/>
  <c r="AS189" i="4"/>
  <c r="AV14" i="4"/>
  <c r="BM197" i="4"/>
  <c r="BK197" i="4"/>
  <c r="BS197" i="4" s="1"/>
  <c r="AX25" i="4"/>
  <c r="AX33" i="4" s="1"/>
  <c r="BI51" i="5"/>
  <c r="AS25" i="4"/>
  <c r="AS33" i="4" s="1"/>
  <c r="AR25" i="4"/>
  <c r="AR33" i="4" s="1"/>
  <c r="AL120" i="4"/>
  <c r="AL122" i="4" s="1"/>
  <c r="M119" i="4"/>
  <c r="S119" i="4"/>
  <c r="AS27" i="4"/>
  <c r="AS29" i="4" s="1"/>
  <c r="AP29" i="4"/>
  <c r="K119" i="4"/>
  <c r="AA119" i="4"/>
  <c r="U119" i="4"/>
  <c r="AP33" i="4"/>
  <c r="AS141" i="4"/>
  <c r="M157" i="4"/>
  <c r="W50" i="4"/>
  <c r="BG51" i="5" s="1"/>
  <c r="W9" i="5"/>
  <c r="AX50" i="4"/>
  <c r="BV51" i="5"/>
  <c r="AV176" i="4"/>
  <c r="U13" i="4"/>
  <c r="AS137" i="4"/>
  <c r="AS138" i="4"/>
  <c r="AA49" i="4"/>
  <c r="M173" i="4"/>
  <c r="AZ176" i="4"/>
  <c r="K196" i="4"/>
  <c r="AA130" i="4"/>
  <c r="U106" i="4"/>
  <c r="U165" i="4"/>
  <c r="AN146" i="4"/>
  <c r="AA183" i="4"/>
  <c r="K130" i="4"/>
  <c r="AR130" i="4"/>
  <c r="AN145" i="4"/>
  <c r="K157" i="4"/>
  <c r="AA13" i="4"/>
  <c r="S86" i="4"/>
  <c r="K106" i="4"/>
  <c r="AA25" i="4"/>
  <c r="AN176" i="4"/>
  <c r="AA161" i="4"/>
  <c r="AX161" i="4"/>
  <c r="AR135" i="4"/>
  <c r="U39" i="4"/>
  <c r="U49" i="4"/>
  <c r="AX165" i="4"/>
  <c r="AR196" i="4"/>
  <c r="AS147" i="4"/>
  <c r="AN172" i="4"/>
  <c r="AX172" i="4" s="1"/>
  <c r="S113" i="4"/>
  <c r="M130" i="4"/>
  <c r="S135" i="4"/>
  <c r="U161" i="4"/>
  <c r="S183" i="4"/>
  <c r="K25" i="4"/>
  <c r="AS192" i="4"/>
  <c r="AS193" i="4"/>
  <c r="AN152" i="4"/>
  <c r="AX152" i="4" s="1"/>
  <c r="AN136" i="4"/>
  <c r="AN139" i="4"/>
  <c r="AA157" i="4"/>
  <c r="M165" i="4"/>
  <c r="AN169" i="4"/>
  <c r="AN148" i="4"/>
  <c r="AX148" i="4" s="1"/>
  <c r="AN140" i="4"/>
  <c r="K183" i="4"/>
  <c r="AR161" i="4"/>
  <c r="U25" i="4"/>
  <c r="AN150" i="4"/>
  <c r="AN142" i="4"/>
  <c r="AN34" i="5" s="1"/>
  <c r="AX173" i="4"/>
  <c r="K49" i="4"/>
  <c r="S78" i="4"/>
  <c r="AS64" i="4"/>
  <c r="AS60" i="4"/>
  <c r="AS72" i="4"/>
  <c r="U78" i="4"/>
  <c r="AS74" i="4"/>
  <c r="AR78" i="4"/>
  <c r="AN61" i="4"/>
  <c r="AX61" i="4" s="1"/>
  <c r="AA70" i="4"/>
  <c r="S39" i="4"/>
  <c r="S13" i="4"/>
  <c r="S70" i="4"/>
  <c r="AN69" i="4"/>
  <c r="AX69" i="4" s="1"/>
  <c r="S62" i="4"/>
  <c r="S8" i="4"/>
  <c r="AR62" i="4"/>
  <c r="AR70" i="4"/>
  <c r="AN183" i="4"/>
  <c r="AX138" i="4"/>
  <c r="AL176" i="4"/>
  <c r="AN48" i="4"/>
  <c r="AX48" i="4" s="1"/>
  <c r="BU48" i="4" s="1"/>
  <c r="CF48" i="4" s="1"/>
  <c r="CH48" i="4" s="1"/>
  <c r="AN75" i="4"/>
  <c r="AX75" i="4" s="1"/>
  <c r="K113" i="4"/>
  <c r="AH176" i="4"/>
  <c r="U8" i="4"/>
  <c r="AA39" i="4"/>
  <c r="S49" i="4"/>
  <c r="AN68" i="4"/>
  <c r="AX68" i="4" s="1"/>
  <c r="M99" i="4"/>
  <c r="W135" i="4"/>
  <c r="AA135" i="4" s="1"/>
  <c r="AD176" i="4"/>
  <c r="AD197" i="4" s="1"/>
  <c r="M183" i="4"/>
  <c r="AN51" i="4"/>
  <c r="AX51" i="4" s="1"/>
  <c r="AN47" i="4"/>
  <c r="AX47" i="4" s="1"/>
  <c r="BU47" i="4" s="1"/>
  <c r="CF47" i="4" s="1"/>
  <c r="CH47" i="4" s="1"/>
  <c r="O176" i="4"/>
  <c r="AA8" i="4"/>
  <c r="S99" i="4"/>
  <c r="AR153" i="4"/>
  <c r="AA196" i="4"/>
  <c r="U135" i="4"/>
  <c r="Y120" i="4"/>
  <c r="Y122" i="4" s="1"/>
  <c r="K161" i="4"/>
  <c r="Q50" i="4"/>
  <c r="AA165" i="4"/>
  <c r="M196" i="4"/>
  <c r="K135" i="4"/>
  <c r="AP49" i="4"/>
  <c r="AS58" i="4"/>
  <c r="U62" i="4"/>
  <c r="U70" i="4"/>
  <c r="AS76" i="4"/>
  <c r="K78" i="4"/>
  <c r="M106" i="4"/>
  <c r="AX106" i="4"/>
  <c r="U113" i="4"/>
  <c r="AX135" i="4"/>
  <c r="AS144" i="4"/>
  <c r="AX157" i="4"/>
  <c r="AY38" i="5" s="1"/>
  <c r="S173" i="4"/>
  <c r="S25" i="4"/>
  <c r="AX130" i="4"/>
  <c r="U86" i="4"/>
  <c r="K86" i="4"/>
  <c r="AX149" i="4"/>
  <c r="AX144" i="4"/>
  <c r="AX64" i="4"/>
  <c r="AX141" i="4"/>
  <c r="AX38" i="4"/>
  <c r="AN59" i="4"/>
  <c r="AR99" i="4"/>
  <c r="AV106" i="4"/>
  <c r="K153" i="4"/>
  <c r="AN194" i="4"/>
  <c r="O50" i="4"/>
  <c r="AY51" i="5" s="1"/>
  <c r="AN54" i="4"/>
  <c r="AN67" i="4"/>
  <c r="K70" i="4"/>
  <c r="M86" i="4"/>
  <c r="S106" i="4"/>
  <c r="AH122" i="4"/>
  <c r="K165" i="4"/>
  <c r="AF176" i="4"/>
  <c r="AN191" i="4"/>
  <c r="AA78" i="4"/>
  <c r="AA106" i="4"/>
  <c r="S157" i="4"/>
  <c r="K99" i="4"/>
  <c r="AR157" i="4"/>
  <c r="AR183" i="4"/>
  <c r="AN77" i="4"/>
  <c r="AS53" i="4"/>
  <c r="AS66" i="4"/>
  <c r="AF92" i="4"/>
  <c r="W99" i="4"/>
  <c r="AA99" i="4" s="1"/>
  <c r="AP120" i="4"/>
  <c r="AP122" i="4" s="1"/>
  <c r="AA153" i="4"/>
  <c r="S161" i="4"/>
  <c r="AA173" i="4"/>
  <c r="K62" i="4"/>
  <c r="S196" i="4"/>
  <c r="S165" i="4"/>
  <c r="K13" i="4"/>
  <c r="AR106" i="4"/>
  <c r="O120" i="4"/>
  <c r="O122" i="4" s="1"/>
  <c r="AN120" i="4"/>
  <c r="AN122" i="4" s="1"/>
  <c r="S130" i="4"/>
  <c r="AS149" i="4"/>
  <c r="S153" i="4"/>
  <c r="Y176" i="4"/>
  <c r="AS170" i="4"/>
  <c r="AN52" i="4"/>
  <c r="AX52" i="4" s="1"/>
  <c r="AN56" i="4"/>
  <c r="K173" i="4"/>
  <c r="K8" i="4"/>
  <c r="AA62" i="4"/>
  <c r="Y79" i="4"/>
  <c r="Y92" i="4" s="1"/>
  <c r="AA113" i="4"/>
  <c r="AP130" i="4"/>
  <c r="AS130" i="4" s="1"/>
  <c r="AX8" i="4"/>
  <c r="AP39" i="4"/>
  <c r="AS39" i="4" s="1"/>
  <c r="AR50" i="4"/>
  <c r="AR49" i="4"/>
  <c r="U99" i="4"/>
  <c r="M113" i="4"/>
  <c r="U153" i="4"/>
  <c r="M161" i="4"/>
  <c r="AR173" i="4"/>
  <c r="U173" i="4"/>
  <c r="AX170" i="4"/>
  <c r="AX45" i="4"/>
  <c r="BU45" i="4" s="1"/>
  <c r="CF45" i="4" s="1"/>
  <c r="CH45" i="4" s="1"/>
  <c r="AX74" i="4"/>
  <c r="AX73" i="4"/>
  <c r="AX147" i="4"/>
  <c r="AX58" i="4"/>
  <c r="AX137" i="4"/>
  <c r="AX57" i="4"/>
  <c r="AX143" i="4"/>
  <c r="AX53" i="4"/>
  <c r="AX66" i="4"/>
  <c r="AX192" i="4"/>
  <c r="AX65" i="4"/>
  <c r="AX151" i="4"/>
  <c r="AN55" i="4"/>
  <c r="AN63" i="4"/>
  <c r="AN195" i="4"/>
  <c r="AR39" i="4"/>
  <c r="AX113" i="4"/>
  <c r="AS126" i="4"/>
  <c r="M153" i="4"/>
  <c r="G176" i="4"/>
  <c r="I176" i="4"/>
  <c r="M13" i="4"/>
  <c r="AX13" i="4"/>
  <c r="M39" i="4"/>
  <c r="AS45" i="4"/>
  <c r="M49" i="4"/>
  <c r="I50" i="4"/>
  <c r="AL79" i="4"/>
  <c r="AA86" i="4"/>
  <c r="Q120" i="4"/>
  <c r="U130" i="4"/>
  <c r="AS143" i="4"/>
  <c r="AS151" i="4"/>
  <c r="U183" i="4"/>
  <c r="M25" i="4"/>
  <c r="I120" i="4"/>
  <c r="AN71" i="4"/>
  <c r="G79" i="4"/>
  <c r="G120" i="4"/>
  <c r="AN44" i="4"/>
  <c r="AP161" i="4"/>
  <c r="AS161" i="4" s="1"/>
  <c r="M8" i="4"/>
  <c r="K39" i="4"/>
  <c r="AS57" i="4"/>
  <c r="M62" i="4"/>
  <c r="AS65" i="4"/>
  <c r="M70" i="4"/>
  <c r="AS73" i="4"/>
  <c r="M78" i="4"/>
  <c r="AX86" i="4"/>
  <c r="M135" i="4"/>
  <c r="U157" i="4"/>
  <c r="U196" i="4"/>
  <c r="AR113" i="4"/>
  <c r="Q176" i="4"/>
  <c r="AP183" i="4"/>
  <c r="BW45" i="4" l="1"/>
  <c r="BW47" i="4"/>
  <c r="BW48" i="4"/>
  <c r="CB51" i="5"/>
  <c r="AN49" i="4"/>
  <c r="BZ51" i="5"/>
  <c r="W79" i="4"/>
  <c r="AA79" i="4" s="1"/>
  <c r="AA50" i="4"/>
  <c r="BK51" i="5" s="1"/>
  <c r="K50" i="4"/>
  <c r="AU51" i="5" s="1"/>
  <c r="AS51" i="5"/>
  <c r="Q79" i="4"/>
  <c r="Q92" i="4" s="1"/>
  <c r="BA51" i="5"/>
  <c r="AV120" i="4"/>
  <c r="AV122" i="4" s="1"/>
  <c r="AV197" i="4" s="1"/>
  <c r="AF197" i="4"/>
  <c r="AZ197" i="4"/>
  <c r="AX183" i="4"/>
  <c r="AN197" i="4"/>
  <c r="S120" i="4"/>
  <c r="AS49" i="4"/>
  <c r="CC51" i="5" s="1"/>
  <c r="AH197" i="4"/>
  <c r="AR176" i="4"/>
  <c r="AX120" i="4"/>
  <c r="AX122" i="4" s="1"/>
  <c r="W120" i="4"/>
  <c r="AA120" i="4" s="1"/>
  <c r="AS120" i="4"/>
  <c r="AS122" i="4" s="1"/>
  <c r="AR79" i="4"/>
  <c r="AR92" i="4" s="1"/>
  <c r="S50" i="4"/>
  <c r="BC51" i="5" s="1"/>
  <c r="K120" i="4"/>
  <c r="Y197" i="4"/>
  <c r="AX176" i="4"/>
  <c r="U176" i="4"/>
  <c r="W176" i="4"/>
  <c r="AA176" i="4" s="1"/>
  <c r="M176" i="4"/>
  <c r="AX136" i="4"/>
  <c r="AX67" i="4"/>
  <c r="AX146" i="4"/>
  <c r="AX169" i="4"/>
  <c r="AX139" i="4"/>
  <c r="AX54" i="4"/>
  <c r="AX56" i="4"/>
  <c r="AP92" i="4"/>
  <c r="AS92" i="4" s="1"/>
  <c r="AX59" i="4"/>
  <c r="AX77" i="4"/>
  <c r="AX191" i="4"/>
  <c r="AX194" i="4"/>
  <c r="U50" i="4"/>
  <c r="BE51" i="5" s="1"/>
  <c r="O79" i="4"/>
  <c r="O92" i="4" s="1"/>
  <c r="G92" i="4"/>
  <c r="AX145" i="4"/>
  <c r="AX140" i="4"/>
  <c r="AX44" i="4"/>
  <c r="BU44" i="4" s="1"/>
  <c r="CF44" i="4" s="1"/>
  <c r="CH44" i="4" s="1"/>
  <c r="AX79" i="4"/>
  <c r="AL92" i="4"/>
  <c r="AX150" i="4"/>
  <c r="K176" i="4"/>
  <c r="AX55" i="4"/>
  <c r="AX63" i="4"/>
  <c r="AX142" i="4"/>
  <c r="M120" i="4"/>
  <c r="I122" i="4"/>
  <c r="AR120" i="4"/>
  <c r="AR122" i="4" s="1"/>
  <c r="S176" i="4"/>
  <c r="AP176" i="4"/>
  <c r="AS176" i="4" s="1"/>
  <c r="AX71" i="4"/>
  <c r="AS183" i="4"/>
  <c r="Q122" i="4"/>
  <c r="U122" i="4" s="1"/>
  <c r="U120" i="4"/>
  <c r="I79" i="4"/>
  <c r="K79" i="4" s="1"/>
  <c r="M50" i="4"/>
  <c r="AW51" i="5" s="1"/>
  <c r="AX195" i="4"/>
  <c r="G122" i="4"/>
  <c r="BW44" i="4" l="1"/>
  <c r="AX49" i="4"/>
  <c r="BX51" i="5"/>
  <c r="W92" i="4"/>
  <c r="AA92" i="4" s="1"/>
  <c r="S92" i="4"/>
  <c r="W122" i="4"/>
  <c r="AA122" i="4" s="1"/>
  <c r="AR197" i="4"/>
  <c r="U79" i="4"/>
  <c r="S79" i="4"/>
  <c r="K122" i="4"/>
  <c r="AP197" i="4"/>
  <c r="AS197" i="4" s="1"/>
  <c r="AL197" i="4"/>
  <c r="AX197" i="4" s="1"/>
  <c r="AX92" i="4"/>
  <c r="M122" i="4"/>
  <c r="M79" i="4"/>
  <c r="I92" i="4"/>
  <c r="M92" i="4" s="1"/>
  <c r="U92" i="4"/>
  <c r="S122" i="4"/>
  <c r="CI51" i="5" l="1"/>
  <c r="BU49" i="4"/>
  <c r="CF49" i="4" s="1"/>
  <c r="CH49" i="4" s="1"/>
  <c r="W197" i="4"/>
  <c r="K92" i="4"/>
  <c r="BW49" i="4" l="1"/>
  <c r="AS71" i="5"/>
  <c r="EG91" i="5"/>
  <c r="EN91" i="5" l="1"/>
  <c r="AZ54" i="5"/>
  <c r="U90" i="5" l="1"/>
  <c r="S87" i="5"/>
  <c r="K75" i="5"/>
  <c r="EF91" i="5"/>
  <c r="EM91" i="5"/>
  <c r="DO91" i="5"/>
  <c r="DI91" i="5"/>
  <c r="DG91" i="5"/>
  <c r="DA91" i="5"/>
  <c r="CY91" i="5"/>
  <c r="AY80" i="5" l="1"/>
  <c r="AN91" i="5" l="1"/>
</calcChain>
</file>

<file path=xl/sharedStrings.xml><?xml version="1.0" encoding="utf-8"?>
<sst xmlns="http://schemas.openxmlformats.org/spreadsheetml/2006/main" count="748" uniqueCount="327">
  <si>
    <t>Jan 10</t>
  </si>
  <si>
    <t>Budget</t>
  </si>
  <si>
    <t>$ Over Budget</t>
  </si>
  <si>
    <t>% of Budget</t>
  </si>
  <si>
    <t>Feb 10</t>
  </si>
  <si>
    <t>6201 · PAYROLL TAXES</t>
  </si>
  <si>
    <t>6204 · MEDICARE</t>
  </si>
  <si>
    <t>6205 · OASDI – SOCIAL SECURITY</t>
  </si>
  <si>
    <t>6206 · STATE UNEMPLOYMENT</t>
  </si>
  <si>
    <t>6207 · OTHER PAYROLL EXPENSES</t>
  </si>
  <si>
    <t>6208 · WORKER’S COMPENSATION</t>
  </si>
  <si>
    <t>6209 · RETIREMENT</t>
  </si>
  <si>
    <t>6210 · GROUP HEALTH/LIFE INSURANCE</t>
  </si>
  <si>
    <t>6300 · ADMINISTRATION</t>
  </si>
  <si>
    <t>6305 · LEGAL</t>
  </si>
  <si>
    <t>6310 · AUDIT</t>
  </si>
  <si>
    <t>6315 · LIABILITY INSURANCE</t>
  </si>
  <si>
    <t>6320 · APPARATUS INS</t>
  </si>
  <si>
    <t>6345 · ELECTION</t>
  </si>
  <si>
    <t>6350 · UTILITIES</t>
  </si>
  <si>
    <t>6351 · TRASH</t>
  </si>
  <si>
    <t>6355 · CABLE</t>
  </si>
  <si>
    <t>6360 · TELEPHONE</t>
  </si>
  <si>
    <t>6365 · OFFICE PHONES</t>
  </si>
  <si>
    <t>6370 · STATION PHONES</t>
  </si>
  <si>
    <t>6375 · CELL PHONES/PAGERS</t>
  </si>
  <si>
    <t>6380 · STAFF</t>
  </si>
  <si>
    <t>6385 · FIREFIGHTERS</t>
  </si>
  <si>
    <t>Total 6375 · CELL PHONES/PAGERS</t>
  </si>
  <si>
    <t>6390 · ELECTRIC</t>
  </si>
  <si>
    <t>6395 · TRAINING FACILITY</t>
  </si>
  <si>
    <t>6405 · STATION 2 - ELECTRIC</t>
  </si>
  <si>
    <t>6415 · STATION 4 - ELECTRIC</t>
  </si>
  <si>
    <t>6420 · STATION 5 - ELECTRIC</t>
  </si>
  <si>
    <t>6430 · STATION 7 - ELECTRIC</t>
  </si>
  <si>
    <t>6435 · STATION 8 - ELECTRIC</t>
  </si>
  <si>
    <t>6440 · STATION 9 - ELECTRIC</t>
  </si>
  <si>
    <t>6455 · STATION 13 - ELECTRIC</t>
  </si>
  <si>
    <t>6460 · STATION 14 - ELECTRIC</t>
  </si>
  <si>
    <t>6465 · STATION 15 - ELECTRIC</t>
  </si>
  <si>
    <t>6390 · ELECTRIC - Other</t>
  </si>
  <si>
    <t>6470 · HEATING FUEL</t>
  </si>
  <si>
    <t>6500 · STATION 4 - HEATING</t>
  </si>
  <si>
    <t>6515 · STATION 7 - HEATING</t>
  </si>
  <si>
    <t>6530 · STATION 10 - HEATING</t>
  </si>
  <si>
    <t>6540 · STATION 13 - HEATING</t>
  </si>
  <si>
    <t>6545 · STATION 14 - HEATING</t>
  </si>
  <si>
    <t>6550 · STATION 15 - HEATING</t>
  </si>
  <si>
    <t>6470 · HEATING FUEL - Other</t>
  </si>
  <si>
    <t>6555 · WATER</t>
  </si>
  <si>
    <t>6565 · TRAINING FACILITY</t>
  </si>
  <si>
    <t>6575 · STATION 2 - WATER</t>
  </si>
  <si>
    <t>6590 · STATION 5 - WATER</t>
  </si>
  <si>
    <t>6605 · STATION 8 - WATER</t>
  </si>
  <si>
    <t>6630 · STATION 14 - WATER</t>
  </si>
  <si>
    <t>6635 · STATION 15 - WATER</t>
  </si>
  <si>
    <t>6555 · WATER - Other</t>
  </si>
  <si>
    <t>6640 · BANK FEES</t>
  </si>
  <si>
    <t>6645 · BOARD OF DIRECTORS</t>
  </si>
  <si>
    <t>6650 · BOOKS/PERIODICALS</t>
  </si>
  <si>
    <t>6665 · EXPENDABLE SUPPLIES</t>
  </si>
  <si>
    <t>6675 · FUNCTIONS</t>
  </si>
  <si>
    <t>6710 · TRAINING &amp; TRAVEL</t>
  </si>
  <si>
    <t>6680 · LEASES</t>
  </si>
  <si>
    <t>6685 · ADMIN COPIERS</t>
  </si>
  <si>
    <t>6690 · POSTAGE METER</t>
  </si>
  <si>
    <t>6700 · MEMBERSHIP DUES</t>
  </si>
  <si>
    <t>6705 · OTHER EXPENSE</t>
  </si>
  <si>
    <t>6715 · POSTAGE AND SHIPPING</t>
  </si>
  <si>
    <t>Total 6300 · ADMINISTRATION</t>
  </si>
  <si>
    <t>7005 · COMMUNICATIONS EQUIP</t>
  </si>
  <si>
    <t>7015 · REPAIR &amp; MAINTENANCE</t>
  </si>
  <si>
    <t>Total 7005 · COMMUNICATIONS EQUIP</t>
  </si>
  <si>
    <t>7025 · INTERNET</t>
  </si>
  <si>
    <t>7225 · FEES</t>
  </si>
  <si>
    <t>7220 · INSTRUCTORS</t>
  </si>
  <si>
    <t>7215 · SUPPLIES</t>
  </si>
  <si>
    <t>7210 · EQUIPMENT</t>
  </si>
  <si>
    <t>7205 · Materials</t>
  </si>
  <si>
    <t>7050 · RECRUIT</t>
  </si>
  <si>
    <t>7055 · MATERIALS</t>
  </si>
  <si>
    <t>7060 · EQUIPMENT - RECRUIT</t>
  </si>
  <si>
    <t>7065 · SUPPLIES</t>
  </si>
  <si>
    <t>7070 · INSTRUCTORS</t>
  </si>
  <si>
    <t>Total 7050 · RECRUIT</t>
  </si>
  <si>
    <t>7080 · MATERIALS</t>
  </si>
  <si>
    <t>7090 · SUPPLIES</t>
  </si>
  <si>
    <t>7095 · INSTRUCTORS</t>
  </si>
  <si>
    <t>7075 · DISTRICT - Other</t>
  </si>
  <si>
    <t>7110 · TRAINING &amp; TRAVEL</t>
  </si>
  <si>
    <t>7300 · LIFE SAFETY</t>
  </si>
  <si>
    <t>7305 · ADVERTISING</t>
  </si>
  <si>
    <t>7310 · PUBLIC EDUCATION</t>
  </si>
  <si>
    <t>7315 · TRAINING &amp; TRAVEL</t>
  </si>
  <si>
    <t>7320 · INVESTIGATIONS</t>
  </si>
  <si>
    <t>7325 · CODES</t>
  </si>
  <si>
    <t>7330 · PIPES &amp; DRUMS</t>
  </si>
  <si>
    <t>Total 7300 · LIFE SAFETY</t>
  </si>
  <si>
    <t>7500 · SUPPORT SERVICES</t>
  </si>
  <si>
    <t>7505 · FACILITY MAINTENANCE</t>
  </si>
  <si>
    <t>7510 · HEADQUARTERS</t>
  </si>
  <si>
    <t>7515 · TRAINING FACILITY</t>
  </si>
  <si>
    <t>7520 · STATION 1 - FM</t>
  </si>
  <si>
    <t>7525 · STATION 2 - FM</t>
  </si>
  <si>
    <t>7530 · STATION 3 - FM</t>
  </si>
  <si>
    <t>7535 · STATION 4 - FM</t>
  </si>
  <si>
    <t>7540 · STATION 5 - FM</t>
  </si>
  <si>
    <t>7545 · STATION 6 - FM</t>
  </si>
  <si>
    <t>7550 · STATION 7 - FM</t>
  </si>
  <si>
    <t>7555 · STATION 8 - FM</t>
  </si>
  <si>
    <t>7560 · STATION 9 - FM</t>
  </si>
  <si>
    <t>7565 · STATION 10 - FM</t>
  </si>
  <si>
    <t>7570 · STATION 12 - FM</t>
  </si>
  <si>
    <t>7575 · STATION 13 - FM</t>
  </si>
  <si>
    <t>7580 · STATION 14 - FM</t>
  </si>
  <si>
    <t>7585 · STATION 15 - FM</t>
  </si>
  <si>
    <t>7505 · FACILITY MAINTENANCE - Other</t>
  </si>
  <si>
    <t>7595 · EQUIPMENT EXPENSE</t>
  </si>
  <si>
    <t>7600 · EQUIPMENT - SS</t>
  </si>
  <si>
    <t>7605 · MAINTENANCE &amp; REPAIRS</t>
  </si>
  <si>
    <t>Total 7595 · EQUIPMENT EXPENSE</t>
  </si>
  <si>
    <t>7615 · FIREFIGHTER PP EQUIPMENT</t>
  </si>
  <si>
    <t>7620 · CLOTHING &amp; EQUIPMENT</t>
  </si>
  <si>
    <t>7625 · REPAIRS &amp; MAINTENANCE</t>
  </si>
  <si>
    <t>Total 7615 · FIREFIGHTER PP EQUIPMENT</t>
  </si>
  <si>
    <t>7630 · APPARATUS - SS</t>
  </si>
  <si>
    <t>7635 · MAINTENANCE/REPAIRS</t>
  </si>
  <si>
    <t>7640 · FUEL</t>
  </si>
  <si>
    <t>Total 7630 · APPARATUS - SS</t>
  </si>
  <si>
    <t>7650 · MAINTENANCE CONTRACTS</t>
  </si>
  <si>
    <t>7655 · PURCHASED SERVICES</t>
  </si>
  <si>
    <t>7660 · HVAC CONTRACTS</t>
  </si>
  <si>
    <t>7665 · SNOW REMOVAL</t>
  </si>
  <si>
    <t>7655 · PURCHASED SERVICES - Other</t>
  </si>
  <si>
    <t>7675 · UNIFORMS &amp; BCFD CLOTHING</t>
  </si>
  <si>
    <t>7680 · STATION SUPPLIES</t>
  </si>
  <si>
    <t>Total 7500 · SUPPORT SERVICES</t>
  </si>
  <si>
    <t>7710 · TECH RESCUE</t>
  </si>
  <si>
    <t>7715 · WATER RESCUE</t>
  </si>
  <si>
    <t>7720 · WILDLAND</t>
  </si>
  <si>
    <t>7725 · TRAINING &amp; TRAVEL</t>
  </si>
  <si>
    <t>Total 7700 · SPECIAL OPERATIONS</t>
  </si>
  <si>
    <t>7930 · E.Sponder</t>
  </si>
  <si>
    <t>7924 · Computers</t>
  </si>
  <si>
    <t>7917 · Apparatus Equipment</t>
  </si>
  <si>
    <t>7911 · G406</t>
  </si>
  <si>
    <t>7905 · CAPITAL/CONTINGENCIES - Other</t>
  </si>
  <si>
    <t>March 2010</t>
  </si>
  <si>
    <t>Pro-Rated Budget March 2010</t>
  </si>
  <si>
    <t>7670 - MOWING EXPENDITURES</t>
  </si>
  <si>
    <t>TOTAL EXPENDITURES</t>
  </si>
  <si>
    <t>2010 Pro-Rated Budget Year To Date</t>
  </si>
  <si>
    <t>2010 Budget</t>
  </si>
  <si>
    <t>2008 BUDGET</t>
  </si>
  <si>
    <t>2009 BUDGET</t>
  </si>
  <si>
    <t>6706 - FIREFIGHTER APPRECIATION</t>
  </si>
  <si>
    <t xml:space="preserve">6706 - BCFPD CLOTHING </t>
  </si>
  <si>
    <t>7945 - FIRE DISTRICT EQUIPMENT</t>
  </si>
  <si>
    <t>7645 · TRAINING &amp; TRAVEL</t>
  </si>
  <si>
    <t>6211 - HEALTH AND WELLNESS</t>
  </si>
  <si>
    <t>7000 · TRAINING</t>
  </si>
  <si>
    <t>Total 7000 · TRAINING</t>
  </si>
  <si>
    <t xml:space="preserve">7905 · CAPITAL </t>
  </si>
  <si>
    <t>7900 - UNRESERVED - UNDESIGNATED</t>
  </si>
  <si>
    <t xml:space="preserve">PERSONNEL </t>
  </si>
  <si>
    <t>EXPENSE ACCOUNTS</t>
  </si>
  <si>
    <t>2010 Expenditures (January - June, 2010)</t>
  </si>
  <si>
    <t xml:space="preserve">7010 · EQUIPMENT </t>
  </si>
  <si>
    <t>2011 Budget</t>
  </si>
  <si>
    <t>2010 Acutual Expenditures</t>
  </si>
  <si>
    <t>2009 Actual Expenditures</t>
  </si>
  <si>
    <t>2008 Actual Expenditures</t>
  </si>
  <si>
    <t>JUSTIFICATION</t>
  </si>
  <si>
    <t xml:space="preserve"> </t>
  </si>
  <si>
    <t>2011 Actual June, 2011</t>
  </si>
  <si>
    <t>7960 - STATION COMMANDERS</t>
  </si>
  <si>
    <t>2012 Budget</t>
  </si>
  <si>
    <t>AAAAAG//a5g=</t>
  </si>
  <si>
    <t>AAAAAG//a5k=</t>
  </si>
  <si>
    <t>AAAAAG//a5o=</t>
  </si>
  <si>
    <t>6646 - TRAINING &amp; TRAVEL</t>
  </si>
  <si>
    <t>7020 · IT/TECHNOLOGY OPERATIONS</t>
  </si>
  <si>
    <t>7800 - RECRUIT &amp; RETENTION</t>
  </si>
  <si>
    <t>7800 - TOTAL RECRUIT &amp; RETENTION</t>
  </si>
  <si>
    <t>7230 · OFFICER'S</t>
  </si>
  <si>
    <t>7232 · EQUIPMENT</t>
  </si>
  <si>
    <t>7233 · SUPPLIES</t>
  </si>
  <si>
    <t>7234 · INSTRUCTORS</t>
  </si>
  <si>
    <t>Total 7230 · OFFICER'S</t>
  </si>
  <si>
    <t>7999 - TRAINING &amp; TRAVEL</t>
  </si>
  <si>
    <t>FIELD OPERATIONS</t>
  </si>
  <si>
    <t>Total FIELD OPERATIONS</t>
  </si>
  <si>
    <t>OFFICE OF THE FIRE CHIEF</t>
  </si>
  <si>
    <t>TOTAL OFFICE OF THE FIRE CHIEF</t>
  </si>
  <si>
    <t>TOTAL BOARD OF DIRECTORS</t>
  </si>
  <si>
    <t>BOARD OF DIRECTORS</t>
  </si>
  <si>
    <t>2013 Budget</t>
  </si>
  <si>
    <t xml:space="preserve">2012 Actual </t>
  </si>
  <si>
    <t>2011 Actual</t>
  </si>
  <si>
    <t>2013 Anticipated Expenditures</t>
  </si>
  <si>
    <t>Over/(Under) Budget</t>
  </si>
  <si>
    <t>7100 · NOMINAL FEE</t>
  </si>
  <si>
    <t>OVER/UNDER PRO-RATED BUDGET</t>
  </si>
  <si>
    <t>June 2013 Actual Expenditures</t>
  </si>
  <si>
    <t>NO CHANGE</t>
  </si>
  <si>
    <t>7700 · SPECIAL OPERATIONS - COMBINE ALL ACCOUNTS</t>
  </si>
  <si>
    <t xml:space="preserve">NO CHANGE  </t>
  </si>
  <si>
    <t>MOVE OUT OF FD BUDGET</t>
  </si>
  <si>
    <t>7200 ·BLS EDUCATION</t>
  </si>
  <si>
    <t>7075 · FIRE EDUCATION</t>
  </si>
  <si>
    <t>Total 7075 · FIRE EDUCATION</t>
  </si>
  <si>
    <t>7085 · EQUIPMENT</t>
  </si>
  <si>
    <t>7105 · OPERATIONAL SUPPLIES</t>
  </si>
  <si>
    <t>Increase (Decrease) from 2013 Budget</t>
  </si>
  <si>
    <t>INCREASE:</t>
  </si>
  <si>
    <t>7705 · SPECIAL OPERATIONS EQUIPMENT &amp; MAINTENANCE</t>
  </si>
  <si>
    <t>Total · TRAINING</t>
  </si>
  <si>
    <t>TOTALS</t>
  </si>
  <si>
    <t xml:space="preserve">INCREASE: </t>
  </si>
  <si>
    <t>2013 Actual</t>
  </si>
  <si>
    <t>2014 Budget</t>
  </si>
  <si>
    <t>TOTAL 6200 - PERSONNEL</t>
  </si>
  <si>
    <t>Total 7200 · BLS EDUCATION</t>
  </si>
  <si>
    <t>6660 · CONFERFENCES</t>
  </si>
  <si>
    <t>Leave the same no increase. Includes, Cintas uniforms, lawn care, Atkins pest control, Car washes monthly, fire alarm monitoring fees.</t>
  </si>
  <si>
    <t xml:space="preserve">Captains that have not received Class A uniforms, Day, Stone, Station 1 (TBD), Station 3 (TBD), Station 14 (TBD), Marlow white class A $414.00 x 5= $2,070.00. 2015 recruit classes anticipate 40 x $77.00 for set from Leon's for Class B now issued to each recruit = $3,098.00. Badges,LT, Captains, FF come out of this account, HQ officer uniforms applied here, helmet shields. Suggest no increase. </t>
  </si>
  <si>
    <t xml:space="preserve">Supplies for stations, toilet paper, paper towel,batteries, tarps, cleaning supplies for stations. Suggest increase based on previous years purchases. Closer to $33,000 average for past 3 years. </t>
  </si>
  <si>
    <t>2015 Budget</t>
  </si>
  <si>
    <t>NO CHANGE:</t>
  </si>
  <si>
    <t>6200.1 · SALARIES</t>
  </si>
  <si>
    <t>7041 · COMPUTER EQT &amp; MAINTENANCE</t>
  </si>
  <si>
    <t>7096 -TRAINING &amp; TRAVEL</t>
  </si>
  <si>
    <t>Difference</t>
  </si>
  <si>
    <t>JUSTIFICATION/INFORMATION</t>
  </si>
  <si>
    <t>2014 Actual</t>
  </si>
  <si>
    <t>Anticipated 2015 Year End Budget</t>
  </si>
  <si>
    <t>2016 Budget</t>
  </si>
  <si>
    <t>DECREASE:  Alignment with past expenditure history</t>
  </si>
  <si>
    <t xml:space="preserve">DECREASE:  NO need for state evaluators for FFI and II </t>
  </si>
  <si>
    <t xml:space="preserve">DECREASE:  Due to historical travel </t>
  </si>
  <si>
    <t>DECREASE:  Due to Balancing Budget</t>
  </si>
  <si>
    <r>
      <rPr>
        <b/>
        <sz val="10"/>
        <rFont val="Times New Roman"/>
        <family val="1"/>
      </rPr>
      <t>DECREASE:</t>
    </r>
    <r>
      <rPr>
        <sz val="10"/>
        <rFont val="Times New Roman"/>
        <family val="1"/>
      </rPr>
      <t xml:space="preserve">  OEM provides $179,000 to our salaries, as well as FEMA and SAFER grant.  However, in 2015 OEM returns to the county and the SAFER grant ends in June, 2014.  See spreadsheet for additional detail</t>
    </r>
  </si>
  <si>
    <r>
      <rPr>
        <b/>
        <sz val="10"/>
        <rFont val="Times New Roman"/>
        <family val="1"/>
      </rPr>
      <t>DECREASE</t>
    </r>
    <r>
      <rPr>
        <sz val="10"/>
        <rFont val="Times New Roman"/>
        <family val="1"/>
      </rPr>
      <t>: Historical figures</t>
    </r>
  </si>
  <si>
    <r>
      <t xml:space="preserve">INCREASE:  </t>
    </r>
    <r>
      <rPr>
        <sz val="10"/>
        <rFont val="Times New Roman"/>
        <family val="1"/>
      </rPr>
      <t>Based upon increase in payroll</t>
    </r>
  </si>
  <si>
    <r>
      <rPr>
        <b/>
        <sz val="10"/>
        <rFont val="Times New Roman"/>
        <family val="1"/>
      </rPr>
      <t>NO CHANGE:</t>
    </r>
    <r>
      <rPr>
        <sz val="10"/>
        <rFont val="Times New Roman"/>
        <family val="1"/>
      </rPr>
      <t xml:space="preserve">  Our E-MOD Decreased which should take care of any overages we have from the year.</t>
    </r>
  </si>
  <si>
    <r>
      <rPr>
        <b/>
        <sz val="10"/>
        <rFont val="Times New Roman"/>
        <family val="1"/>
      </rPr>
      <t>INCREASE: B</t>
    </r>
    <r>
      <rPr>
        <sz val="10"/>
        <rFont val="Times New Roman"/>
        <family val="1"/>
      </rPr>
      <t>udget for a possible 1% increase, which is the maximum the annual premium can go up</t>
    </r>
  </si>
  <si>
    <r>
      <rPr>
        <b/>
        <sz val="10"/>
        <rFont val="Times New Roman"/>
        <family val="1"/>
      </rPr>
      <t>INCREASE:</t>
    </r>
    <r>
      <rPr>
        <sz val="10"/>
        <rFont val="Times New Roman"/>
        <family val="1"/>
      </rPr>
      <t xml:space="preserve">  Figured a 15% historical increase.  </t>
    </r>
  </si>
  <si>
    <r>
      <rPr>
        <b/>
        <sz val="10"/>
        <rFont val="Times New Roman"/>
        <family val="1"/>
      </rPr>
      <t xml:space="preserve">DECREASE: </t>
    </r>
    <r>
      <rPr>
        <sz val="10"/>
        <rFont val="Times New Roman"/>
        <family val="1"/>
      </rPr>
      <t xml:space="preserve"> Due to the Support Services Bureau Director resignation</t>
    </r>
  </si>
  <si>
    <r>
      <rPr>
        <b/>
        <sz val="10"/>
        <rFont val="Times New Roman"/>
        <family val="1"/>
      </rPr>
      <t xml:space="preserve">INCREASE: </t>
    </r>
    <r>
      <rPr>
        <sz val="10"/>
        <rFont val="Times New Roman"/>
        <family val="1"/>
      </rPr>
      <t>BOD is possibly proposing an increase in their compensation</t>
    </r>
  </si>
  <si>
    <r>
      <rPr>
        <b/>
        <sz val="10"/>
        <rFont val="Times New Roman"/>
        <family val="1"/>
      </rPr>
      <t xml:space="preserve">NO CHANGE:  </t>
    </r>
    <r>
      <rPr>
        <sz val="10"/>
        <rFont val="Times New Roman"/>
        <family val="1"/>
      </rPr>
      <t>Look into canceling cable at the HQ Office to help cover the cost at the stations.</t>
    </r>
  </si>
  <si>
    <r>
      <rPr>
        <b/>
        <sz val="10"/>
        <rFont val="Times New Roman"/>
        <family val="1"/>
      </rPr>
      <t>INCREASE</t>
    </r>
    <r>
      <rPr>
        <sz val="10"/>
        <rFont val="Times New Roman"/>
        <family val="1"/>
      </rPr>
      <t>: Historical Cost Analysis - However will be looking into moving to a cable solution due to increasing costs with DirectTV</t>
    </r>
  </si>
  <si>
    <r>
      <rPr>
        <b/>
        <sz val="10"/>
        <rFont val="Times New Roman"/>
        <family val="1"/>
      </rPr>
      <t xml:space="preserve">COMBINING: </t>
    </r>
    <r>
      <rPr>
        <sz val="10"/>
        <rFont val="Times New Roman"/>
        <family val="1"/>
      </rPr>
      <t xml:space="preserve"> Computer Equipment with this account.  This will help ensure coding correctly and utilize funds more appropriately.  Currently reviewing work stations, needs for software, etc.</t>
    </r>
  </si>
  <si>
    <r>
      <rPr>
        <b/>
        <sz val="10"/>
        <rFont val="Times New Roman"/>
        <family val="1"/>
      </rPr>
      <t xml:space="preserve">NO CHANGE:  </t>
    </r>
    <r>
      <rPr>
        <sz val="10"/>
        <rFont val="Times New Roman"/>
        <family val="1"/>
      </rPr>
      <t>RFP will go out for the 2014 Banquet</t>
    </r>
  </si>
  <si>
    <r>
      <rPr>
        <b/>
        <sz val="10"/>
        <rFont val="Times New Roman"/>
        <family val="1"/>
      </rPr>
      <t xml:space="preserve">NO CHANGE: </t>
    </r>
    <r>
      <rPr>
        <sz val="10"/>
        <rFont val="Times New Roman"/>
        <family val="1"/>
      </rPr>
      <t>Account utilized for Volunteer Appreciation Week purchases</t>
    </r>
  </si>
  <si>
    <r>
      <rPr>
        <b/>
        <sz val="10"/>
        <rFont val="Times New Roman"/>
        <family val="1"/>
      </rPr>
      <t xml:space="preserve">DECREASE: </t>
    </r>
    <r>
      <rPr>
        <sz val="10"/>
        <rFont val="Times New Roman"/>
        <family val="1"/>
      </rPr>
      <t>Plan to rebid the Health and Wellness physicals.  Since all initials and baselines have been done, looking into moving physicals to age based need on a rotating cycle to help reduce costs</t>
    </r>
  </si>
  <si>
    <r>
      <rPr>
        <b/>
        <sz val="10"/>
        <rFont val="Times New Roman"/>
        <family val="1"/>
      </rPr>
      <t>DECREASE:</t>
    </r>
    <r>
      <rPr>
        <sz val="10"/>
        <rFont val="Times New Roman"/>
        <family val="1"/>
      </rPr>
      <t xml:space="preserve">  Currently not expending nearly as much as prior years</t>
    </r>
  </si>
  <si>
    <r>
      <rPr>
        <b/>
        <sz val="10"/>
        <rFont val="Times New Roman"/>
        <family val="1"/>
      </rPr>
      <t>INCREASE:</t>
    </r>
    <r>
      <rPr>
        <sz val="10"/>
        <rFont val="Times New Roman"/>
        <family val="1"/>
      </rPr>
      <t xml:space="preserve"> Per Williams Keepers proposal</t>
    </r>
  </si>
  <si>
    <r>
      <rPr>
        <b/>
        <sz val="10"/>
        <rFont val="Times New Roman"/>
        <family val="1"/>
      </rPr>
      <t xml:space="preserve">INCREASE: </t>
    </r>
    <r>
      <rPr>
        <sz val="10"/>
        <rFont val="Times New Roman"/>
        <family val="1"/>
      </rPr>
      <t xml:space="preserve"> In accordance with the RFP</t>
    </r>
  </si>
  <si>
    <r>
      <rPr>
        <b/>
        <sz val="10"/>
        <rFont val="Times New Roman"/>
        <family val="1"/>
      </rPr>
      <t>INCREASE:</t>
    </r>
    <r>
      <rPr>
        <sz val="10"/>
        <rFont val="Times New Roman"/>
        <family val="1"/>
      </rPr>
      <t xml:space="preserve">  An increase of 8% to cover any additional needs</t>
    </r>
  </si>
  <si>
    <r>
      <rPr>
        <b/>
        <sz val="10"/>
        <rFont val="Times New Roman"/>
        <family val="1"/>
      </rPr>
      <t>INCREASE</t>
    </r>
    <r>
      <rPr>
        <sz val="10"/>
        <rFont val="Times New Roman"/>
        <family val="1"/>
      </rPr>
      <t>:  10% due to loss ratios and projections</t>
    </r>
  </si>
  <si>
    <r>
      <rPr>
        <b/>
        <sz val="10"/>
        <rFont val="Times New Roman"/>
        <family val="1"/>
      </rPr>
      <t xml:space="preserve">INCREASE: </t>
    </r>
    <r>
      <rPr>
        <sz val="10"/>
        <rFont val="Times New Roman"/>
        <family val="1"/>
      </rPr>
      <t xml:space="preserve"> Due to have two Board Member terms and then a Bond Issue</t>
    </r>
  </si>
  <si>
    <r>
      <t xml:space="preserve">INCREASE:  </t>
    </r>
    <r>
      <rPr>
        <sz val="10"/>
        <rFont val="Times New Roman"/>
        <family val="1"/>
      </rPr>
      <t>Anticipated board elections in April 2016 - 2 positions</t>
    </r>
  </si>
  <si>
    <r>
      <rPr>
        <b/>
        <sz val="10"/>
        <rFont val="Times New Roman"/>
        <family val="1"/>
      </rPr>
      <t>INCREASE:</t>
    </r>
    <r>
      <rPr>
        <sz val="10"/>
        <rFont val="Times New Roman"/>
        <family val="1"/>
      </rPr>
      <t xml:space="preserve"> Due to historical cost factors.  However, we will be bidding out these services to ensure we are getting the best price</t>
    </r>
  </si>
  <si>
    <r>
      <rPr>
        <b/>
        <sz val="10"/>
        <rFont val="Times New Roman"/>
        <family val="1"/>
      </rPr>
      <t>DECREASE</t>
    </r>
    <r>
      <rPr>
        <sz val="10"/>
        <rFont val="Times New Roman"/>
        <family val="1"/>
      </rPr>
      <t>: Contracted services have helped decrease costs, currently we have saved nearly $300 per month with changing the AT&amp;T contract; as well as, currently researching doing away with several office phone lines</t>
    </r>
  </si>
  <si>
    <r>
      <rPr>
        <b/>
        <sz val="10"/>
        <rFont val="Times New Roman"/>
        <family val="1"/>
      </rPr>
      <t xml:space="preserve">NO CHANGE: </t>
    </r>
    <r>
      <rPr>
        <sz val="10"/>
        <rFont val="Times New Roman"/>
        <family val="1"/>
      </rPr>
      <t xml:space="preserve"> Current changes in lighting, new A/C and Heating have helped reduce costs</t>
    </r>
  </si>
  <si>
    <r>
      <rPr>
        <b/>
        <sz val="10"/>
        <rFont val="Times New Roman"/>
        <family val="1"/>
      </rPr>
      <t xml:space="preserve">DECREASE: </t>
    </r>
    <r>
      <rPr>
        <sz val="10"/>
        <rFont val="Times New Roman"/>
        <family val="1"/>
      </rPr>
      <t xml:space="preserve"> Due to contracted propane costs we are able to better regulate cost per usage</t>
    </r>
  </si>
  <si>
    <r>
      <rPr>
        <b/>
        <sz val="10"/>
        <rFont val="Times New Roman"/>
        <family val="1"/>
      </rPr>
      <t>DECREASE:</t>
    </r>
    <r>
      <rPr>
        <sz val="10"/>
        <rFont val="Times New Roman"/>
        <family val="1"/>
      </rPr>
      <t xml:space="preserve">  Due to $.88/gallon on heating fuel and historical costs</t>
    </r>
  </si>
  <si>
    <r>
      <rPr>
        <b/>
        <sz val="10"/>
        <rFont val="Times New Roman"/>
        <family val="1"/>
      </rPr>
      <t>NO CHANGE:</t>
    </r>
    <r>
      <rPr>
        <sz val="10"/>
        <rFont val="Times New Roman"/>
        <family val="1"/>
      </rPr>
      <t xml:space="preserve">  As of July, 2013 we are charging a 1.5% usage fee to help off-set credit card usage fees</t>
    </r>
  </si>
  <si>
    <r>
      <rPr>
        <b/>
        <sz val="10"/>
        <rFont val="Times New Roman"/>
        <family val="1"/>
      </rPr>
      <t xml:space="preserve">DECREASE:  </t>
    </r>
    <r>
      <rPr>
        <sz val="10"/>
        <rFont val="Times New Roman"/>
        <family val="1"/>
      </rPr>
      <t>$6,000 Currently only utilizing for Position Descriptions and PFA analysis…will be doing a general analysis PFAs in 2014</t>
    </r>
  </si>
  <si>
    <r>
      <rPr>
        <b/>
        <sz val="10"/>
        <rFont val="Times New Roman"/>
        <family val="1"/>
      </rPr>
      <t>DECREASE</t>
    </r>
    <r>
      <rPr>
        <sz val="10"/>
        <rFont val="Times New Roman"/>
        <family val="1"/>
      </rPr>
      <t>:  Not a utilized account</t>
    </r>
  </si>
  <si>
    <r>
      <rPr>
        <b/>
        <sz val="10"/>
        <rFont val="Times New Roman"/>
        <family val="1"/>
      </rPr>
      <t xml:space="preserve">NO CHANGE: </t>
    </r>
    <r>
      <rPr>
        <sz val="10"/>
        <rFont val="Times New Roman"/>
        <family val="1"/>
      </rPr>
      <t>At this time we have found a better contracted rate for printer cartridges, accountability for supplies, use of paper has decreased</t>
    </r>
  </si>
  <si>
    <r>
      <rPr>
        <b/>
        <sz val="10"/>
        <rFont val="Times New Roman"/>
        <family val="1"/>
      </rPr>
      <t>DECREASE</t>
    </r>
    <r>
      <rPr>
        <sz val="10"/>
        <rFont val="Times New Roman"/>
        <family val="1"/>
      </rPr>
      <t>:  Looking at possibility of doing away with postage meter</t>
    </r>
  </si>
  <si>
    <r>
      <rPr>
        <b/>
        <sz val="10"/>
        <rFont val="Times New Roman"/>
        <family val="1"/>
      </rPr>
      <t xml:space="preserve">DECREASE:  </t>
    </r>
    <r>
      <rPr>
        <sz val="10"/>
        <rFont val="Times New Roman"/>
        <family val="1"/>
      </rPr>
      <t>Due to new lease for copy machines, inclusive of fax machine</t>
    </r>
  </si>
  <si>
    <r>
      <rPr>
        <b/>
        <sz val="10"/>
        <rFont val="Times New Roman"/>
        <family val="1"/>
      </rPr>
      <t>NO CHANGE:</t>
    </r>
    <r>
      <rPr>
        <sz val="10"/>
        <rFont val="Times New Roman"/>
        <family val="1"/>
      </rPr>
      <t xml:space="preserve"> MAFPD and IAFC </t>
    </r>
  </si>
  <si>
    <r>
      <rPr>
        <b/>
        <sz val="10"/>
        <rFont val="Times New Roman"/>
        <family val="1"/>
      </rPr>
      <t xml:space="preserve">DECREASE: </t>
    </r>
    <r>
      <rPr>
        <sz val="10"/>
        <rFont val="Times New Roman"/>
        <family val="1"/>
      </rPr>
      <t xml:space="preserve">Plan to utilize the internet for webinars and local trainings </t>
    </r>
  </si>
  <si>
    <r>
      <rPr>
        <b/>
        <sz val="10"/>
        <rFont val="Times New Roman"/>
        <family val="1"/>
      </rPr>
      <t>NO CHANGE:    S</t>
    </r>
    <r>
      <rPr>
        <sz val="10"/>
        <rFont val="Times New Roman"/>
        <family val="1"/>
      </rPr>
      <t>till plan to send at least 2 Admin. Staff member to an annual conference or training that will help them thrive in their job.  As well as, utilize local training for the others this is about $500 per staff member</t>
    </r>
  </si>
  <si>
    <r>
      <rPr>
        <b/>
        <sz val="10"/>
        <rFont val="Times New Roman"/>
        <family val="1"/>
      </rPr>
      <t>DECREASE</t>
    </r>
    <r>
      <rPr>
        <sz val="10"/>
        <rFont val="Times New Roman"/>
        <family val="1"/>
      </rPr>
      <t>: Plan to utilize more online bill paying avenues</t>
    </r>
  </si>
  <si>
    <r>
      <rPr>
        <b/>
        <sz val="10"/>
        <rFont val="Times New Roman"/>
        <family val="1"/>
      </rPr>
      <t xml:space="preserve">DECREASE: </t>
    </r>
    <r>
      <rPr>
        <sz val="10"/>
        <rFont val="Times New Roman"/>
        <family val="1"/>
      </rPr>
      <t>Feel that the equipment that was purchased during 2013 should cover for a couple of years</t>
    </r>
  </si>
  <si>
    <r>
      <rPr>
        <b/>
        <sz val="10"/>
        <rFont val="Times New Roman"/>
        <family val="1"/>
      </rPr>
      <t xml:space="preserve">DECREASE: </t>
    </r>
    <r>
      <rPr>
        <sz val="10"/>
        <rFont val="Times New Roman"/>
        <family val="1"/>
      </rPr>
      <t>Feels that there is a legitimate budget excess that can be better used else where</t>
    </r>
  </si>
  <si>
    <r>
      <rPr>
        <b/>
        <sz val="10"/>
        <rFont val="Times New Roman"/>
        <family val="1"/>
      </rPr>
      <t>NO CHANGE:</t>
    </r>
    <r>
      <rPr>
        <sz val="10"/>
        <rFont val="Times New Roman"/>
        <family val="1"/>
      </rPr>
      <t xml:space="preserve"> State Lead Evaluator for the Recruit Class (currently we have a partnership with the City of Columbia)</t>
    </r>
  </si>
  <si>
    <r>
      <rPr>
        <b/>
        <sz val="10"/>
        <rFont val="Times New Roman"/>
        <family val="1"/>
      </rPr>
      <t>DECREASE:</t>
    </r>
    <r>
      <rPr>
        <sz val="10"/>
        <rFont val="Times New Roman"/>
        <family val="1"/>
      </rPr>
      <t xml:space="preserve"> Due to budget excess</t>
    </r>
  </si>
  <si>
    <r>
      <rPr>
        <b/>
        <sz val="10"/>
        <rFont val="Times New Roman"/>
        <family val="1"/>
      </rPr>
      <t>DECREASE:</t>
    </r>
    <r>
      <rPr>
        <sz val="10"/>
        <rFont val="Times New Roman"/>
        <family val="1"/>
      </rPr>
      <t xml:space="preserve"> Have not identified any current equipment needs</t>
    </r>
  </si>
  <si>
    <r>
      <rPr>
        <b/>
        <sz val="10"/>
        <rFont val="Times New Roman"/>
        <family val="1"/>
      </rPr>
      <t>NO CHANGE:</t>
    </r>
    <r>
      <rPr>
        <sz val="10"/>
        <rFont val="Times New Roman"/>
        <family val="1"/>
      </rPr>
      <t xml:space="preserve">  Planning on two Intro to Tech Rescue (ITR) courses taught to District by outside instructors</t>
    </r>
  </si>
  <si>
    <r>
      <rPr>
        <b/>
        <sz val="10"/>
        <rFont val="Times New Roman"/>
        <family val="1"/>
      </rPr>
      <t xml:space="preserve">DECREASE: </t>
    </r>
    <r>
      <rPr>
        <sz val="10"/>
        <rFont val="Times New Roman"/>
        <family val="1"/>
      </rPr>
      <t>Based upon BLS needs</t>
    </r>
  </si>
  <si>
    <r>
      <rPr>
        <b/>
        <sz val="10"/>
        <rFont val="Times New Roman"/>
        <family val="1"/>
      </rPr>
      <t xml:space="preserve">NO CHANGE: </t>
    </r>
    <r>
      <rPr>
        <sz val="10"/>
        <rFont val="Times New Roman"/>
        <family val="1"/>
      </rPr>
      <t xml:space="preserve">The officer's development courses are being designed and will start utilizing funds the end of 2013.  </t>
    </r>
  </si>
  <si>
    <r>
      <rPr>
        <b/>
        <sz val="10"/>
        <rFont val="Times New Roman"/>
        <family val="1"/>
      </rPr>
      <t>DECREASE:</t>
    </r>
    <r>
      <rPr>
        <sz val="10"/>
        <rFont val="Times New Roman"/>
        <family val="1"/>
      </rPr>
      <t xml:space="preserve">  Due to historical review of budget excess</t>
    </r>
  </si>
  <si>
    <r>
      <t xml:space="preserve">DECREASE:  </t>
    </r>
    <r>
      <rPr>
        <sz val="10"/>
        <rFont val="Times New Roman"/>
        <family val="1"/>
      </rPr>
      <t xml:space="preserve">Due to historical costs </t>
    </r>
  </si>
  <si>
    <r>
      <rPr>
        <b/>
        <sz val="10"/>
        <rFont val="Times New Roman"/>
        <family val="1"/>
      </rPr>
      <t>DECREASE:</t>
    </r>
    <r>
      <rPr>
        <sz val="10"/>
        <rFont val="Times New Roman"/>
        <family val="1"/>
      </rPr>
      <t xml:space="preserve">  $5,000</t>
    </r>
  </si>
  <si>
    <r>
      <rPr>
        <b/>
        <sz val="10"/>
        <rFont val="Times New Roman"/>
        <family val="1"/>
      </rPr>
      <t>INCREASE:</t>
    </r>
    <r>
      <rPr>
        <sz val="10"/>
        <rFont val="Times New Roman"/>
        <family val="1"/>
      </rPr>
      <t xml:space="preserve">$4,000 due to Hydrant Testing and Maintenance Project and Commercial Fire Inspections and Preplans - See Life Safety Project Proposal </t>
    </r>
  </si>
  <si>
    <r>
      <rPr>
        <b/>
        <sz val="10"/>
        <color theme="1"/>
        <rFont val="Times New Roman"/>
        <family val="1"/>
      </rPr>
      <t>NO CHANGE:</t>
    </r>
    <r>
      <rPr>
        <sz val="10"/>
        <color theme="1"/>
        <rFont val="Times New Roman"/>
        <family val="1"/>
      </rPr>
      <t xml:space="preserve"> Apparatus intercomm replacement as needed and a couple of radios</t>
    </r>
  </si>
  <si>
    <r>
      <rPr>
        <b/>
        <sz val="10"/>
        <color theme="1"/>
        <rFont val="Times New Roman"/>
        <family val="1"/>
      </rPr>
      <t xml:space="preserve">NO CHANGE: </t>
    </r>
    <r>
      <rPr>
        <sz val="10"/>
        <color theme="1"/>
        <rFont val="Times New Roman"/>
        <family val="1"/>
      </rPr>
      <t>Radio installs - Apparatus intercomm repair</t>
    </r>
  </si>
  <si>
    <r>
      <rPr>
        <b/>
        <sz val="10"/>
        <color theme="1"/>
        <rFont val="Times New Roman"/>
        <family val="1"/>
      </rPr>
      <t>NO CHANG</t>
    </r>
    <r>
      <rPr>
        <sz val="10"/>
        <color theme="1"/>
        <rFont val="Times New Roman"/>
        <family val="1"/>
      </rPr>
      <t xml:space="preserve">E: on going furniture, appliance replacement, HVAC repairs, small projects, repair, painting.   22 buildings is only $5,450 per building.  Training Center Trailers need extensive work if we decide to keep them another 5 years.  </t>
    </r>
  </si>
  <si>
    <r>
      <t xml:space="preserve">DECREASE:  </t>
    </r>
    <r>
      <rPr>
        <sz val="10"/>
        <color theme="1"/>
        <rFont val="Times New Roman"/>
        <family val="1"/>
      </rPr>
      <t xml:space="preserve">General station repairs and maintenance.  Anticipated projects to be included in the Bond Projects will come from this account.  Lighting upgrade station 12 = $2,500.00, New and replacement furniture for stations, tables and couches  = $6,000.00, Paint station exterior doors = $5,000, Station Appliance replacement= $7,200.00.  Replace maintenance bay overhead door and widen the opening to accommodate large apparatus = $7,500. </t>
    </r>
  </si>
  <si>
    <r>
      <rPr>
        <b/>
        <sz val="10"/>
        <rFont val="Times New Roman"/>
        <family val="1"/>
      </rPr>
      <t xml:space="preserve">NO CHANGE: </t>
    </r>
    <r>
      <rPr>
        <sz val="10"/>
        <rFont val="Times New Roman"/>
        <family val="1"/>
      </rPr>
      <t>nozzles, hose, replace broken items - Items we currently have that we have to replace</t>
    </r>
  </si>
  <si>
    <r>
      <rPr>
        <b/>
        <sz val="10"/>
        <rFont val="Times New Roman"/>
        <family val="1"/>
      </rPr>
      <t xml:space="preserve">DECREASE:  </t>
    </r>
    <r>
      <rPr>
        <sz val="10"/>
        <rFont val="Times New Roman"/>
        <family val="1"/>
      </rPr>
      <t>Historical factors</t>
    </r>
  </si>
  <si>
    <r>
      <rPr>
        <b/>
        <sz val="10"/>
        <color theme="1"/>
        <rFont val="Times New Roman"/>
        <family val="1"/>
      </rPr>
      <t>DECREASE:</t>
    </r>
    <r>
      <rPr>
        <sz val="10"/>
        <color theme="1"/>
        <rFont val="Times New Roman"/>
        <family val="1"/>
      </rPr>
      <t xml:space="preserve">  Due to the new SCBA’s being under warranty for 2016 the expenses will be less.  The Thermal Image Camera’s are getting old and the rebuild costs are about $3,000.  Annual calibration for PosiChek $650.00. This account includes items sent out for repair as well.  </t>
    </r>
  </si>
  <si>
    <r>
      <rPr>
        <b/>
        <sz val="10"/>
        <color theme="1"/>
        <rFont val="Times New Roman"/>
        <family val="1"/>
      </rPr>
      <t>DECREASE:</t>
    </r>
    <r>
      <rPr>
        <sz val="10"/>
        <color theme="1"/>
        <rFont val="Times New Roman"/>
        <family val="1"/>
      </rPr>
      <t xml:space="preserve">  Purchased new gear from 2013 revised budgets, will need to purchase red helmets, continuing purchasing helmets, gloves, hoods, etc.</t>
    </r>
  </si>
  <si>
    <r>
      <t xml:space="preserve">INCREASE: </t>
    </r>
    <r>
      <rPr>
        <sz val="10"/>
        <color theme="1"/>
        <rFont val="Times New Roman"/>
        <family val="1"/>
      </rPr>
      <t>Varibility of fuel prices and historical accounting provides the need for an increase</t>
    </r>
  </si>
  <si>
    <r>
      <rPr>
        <b/>
        <sz val="10"/>
        <color theme="1"/>
        <rFont val="Times New Roman"/>
        <family val="1"/>
      </rPr>
      <t>NO CHANGE:</t>
    </r>
    <r>
      <rPr>
        <sz val="10"/>
        <color theme="1"/>
        <rFont val="Times New Roman"/>
        <family val="1"/>
      </rPr>
      <t xml:space="preserve"> 5 FTE's,  allow one major school and several short travel schools,  2013 we had two major schools,  pump class for Aaron and sprinkler class for David and ran over budget.</t>
    </r>
  </si>
  <si>
    <r>
      <t xml:space="preserve">DECREASE:  </t>
    </r>
    <r>
      <rPr>
        <sz val="10"/>
        <color theme="1"/>
        <rFont val="Times New Roman"/>
        <family val="1"/>
      </rPr>
      <t xml:space="preserve"> We have been under budget in the account for the last couple of years.  Most of the classes are available within the State of Missouri, which keeps the costs down.</t>
    </r>
  </si>
  <si>
    <r>
      <rPr>
        <b/>
        <sz val="10"/>
        <rFont val="Times New Roman"/>
        <family val="1"/>
      </rPr>
      <t>INCREASE:</t>
    </r>
    <r>
      <rPr>
        <sz val="10"/>
        <rFont val="Times New Roman"/>
        <family val="1"/>
      </rPr>
      <t xml:space="preserve"> Cost for Cintas, Thomas, Atkins, Putnam, Car Washes and Fire Alarm Monitoring is estimated at $46,205 and that is without any snow removal.  Will be going out fo bid for alarm monitoring.</t>
    </r>
  </si>
  <si>
    <r>
      <rPr>
        <b/>
        <sz val="10"/>
        <color theme="1"/>
        <rFont val="Times New Roman"/>
        <family val="1"/>
      </rPr>
      <t>NO CHANGE:</t>
    </r>
    <r>
      <rPr>
        <sz val="10"/>
        <color theme="1"/>
        <rFont val="Times New Roman"/>
        <family val="1"/>
      </rPr>
      <t xml:space="preserve">  Captains that have not received Class A uniforms, Day, Stone, Station 1 (TBD), Station 3 (TBD), Station 14 (TBD), Marlow white class A $414.00 x 5= $2,070.00. 2015 recruit classes anticipate 40 x $77.00 for set from Leon's for Class B now issued to each recruit = $3,098.00. Badges,LT, Captains, FF come out of this account, HQ officer uniforms applied here, helmet shields. Suggest no increase. </t>
    </r>
  </si>
  <si>
    <r>
      <rPr>
        <b/>
        <sz val="10"/>
        <color theme="1"/>
        <rFont val="Times New Roman"/>
        <family val="1"/>
      </rPr>
      <t>NO CHANGE:</t>
    </r>
    <r>
      <rPr>
        <sz val="10"/>
        <color theme="1"/>
        <rFont val="Times New Roman"/>
        <family val="1"/>
      </rPr>
      <t xml:space="preserve"> Detergent, batteries, gloves, dish soap, etc. for Stations</t>
    </r>
  </si>
  <si>
    <r>
      <rPr>
        <b/>
        <sz val="10"/>
        <rFont val="Times New Roman"/>
        <family val="1"/>
      </rPr>
      <t>COMBINING:</t>
    </r>
    <r>
      <rPr>
        <sz val="10"/>
        <rFont val="Times New Roman"/>
        <family val="1"/>
      </rPr>
      <t xml:space="preserve">  Would like to combine all Special Ops accounts into just Special Operations Mainentenance and Repairs.  The individual items can be accounted for via project codes.  Currently needing to purchase Haz-Mat Suits, Airbags, PFDs.  Need to put into a replacement cycle spreadsheet</t>
    </r>
  </si>
  <si>
    <r>
      <rPr>
        <b/>
        <sz val="10"/>
        <rFont val="Times New Roman"/>
        <family val="1"/>
      </rPr>
      <t>DECREASE:</t>
    </r>
    <r>
      <rPr>
        <sz val="10"/>
        <rFont val="Times New Roman"/>
        <family val="1"/>
      </rPr>
      <t xml:space="preserve">  Based upon historical costs</t>
    </r>
  </si>
  <si>
    <r>
      <rPr>
        <b/>
        <sz val="10"/>
        <rFont val="Times New Roman"/>
        <family val="1"/>
      </rPr>
      <t>DECREASE</t>
    </r>
    <r>
      <rPr>
        <sz val="10"/>
        <rFont val="Times New Roman"/>
        <family val="1"/>
      </rPr>
      <t>:  Based upon reduction of calls into the city and historical costs</t>
    </r>
  </si>
  <si>
    <r>
      <rPr>
        <b/>
        <sz val="10"/>
        <rFont val="Times New Roman"/>
        <family val="1"/>
      </rPr>
      <t>DECREASE:</t>
    </r>
    <r>
      <rPr>
        <sz val="10"/>
        <rFont val="Times New Roman"/>
        <family val="1"/>
      </rPr>
      <t xml:space="preserve">  Firefigther utilization doesn't match the budget.  We are meeting the needs for current usage at $13,000</t>
    </r>
  </si>
  <si>
    <r>
      <t>DECREASE:  W</t>
    </r>
    <r>
      <rPr>
        <sz val="10"/>
        <color theme="1"/>
        <rFont val="Times New Roman"/>
        <family val="1"/>
      </rPr>
      <t>ill need a minimum of 20 pagers in 2016 @490 each =$9800.  In 2016 we will still have 11, HT-1000, radios on the Brush Rigs.  There is a need to have a planned replacement of at least 4 radios per year.  Motorola APX6000 cost $2,955.25 (current pricing x 4 =$11,821). Two mobile radios, APX6500- 50 watt @ $3,802 each, would be $7,604.  New equipment in this area has been or will be being purchased through the bond issue.</t>
    </r>
  </si>
  <si>
    <r>
      <rPr>
        <b/>
        <sz val="10"/>
        <color theme="1"/>
        <rFont val="Times New Roman"/>
        <family val="1"/>
      </rPr>
      <t xml:space="preserve">DECREASE:  </t>
    </r>
    <r>
      <rPr>
        <sz val="10"/>
        <color theme="1"/>
        <rFont val="Times New Roman"/>
        <family val="1"/>
      </rPr>
      <t xml:space="preserve">Batteries for  V's  20@ $37.00 each=$740.00. Batteries for VI's are $30.00 x 25=$750.00. Repairs for pagers average 2 pagers a month get repaired at contracted rate for a normal basic repair is $78.00 each, anticipate $1,872.00 year fee. Installs for MR on average is about eight per year at $200 for a total of $1600.  This account includes impress batteries $42.00 each x 20=$840.00 for portables.   Replacement for impress charges $331.30 x 2=$662.60 and lost or damaged mics. </t>
    </r>
  </si>
  <si>
    <r>
      <t xml:space="preserve">NO CHANGE:   </t>
    </r>
    <r>
      <rPr>
        <sz val="10"/>
        <color theme="1"/>
        <rFont val="Times New Roman"/>
        <family val="1"/>
      </rPr>
      <t xml:space="preserve">  2016-1  would be a 9/7 split based on the sizing needs. Anticipate the same for 2016-2. Expected needs for  Globe coats $1,044.00 x 14=$14,616.00/Pants are $775.00 x 14=$10,850.00. Protech structure gloves 40@ $53.00 each=$2,120.00. Nomex hood for stock and replacement 20 @ $30.00 each= $600.00. Gear bags are issued to new recruits each class anticipate purchasing 20 @ $70.00 =$1,400.00. AV300 HT SS face pieces from stock/replacement and issue to recruits 10 @ $239.00=$2,390.00.  Anticipate ordering at least 20 various color helmets (GSA pricing)@ $196.00 =$5,880. Boots new leather boots for 2015 recruit class members and stock 10 pair@ $320.00 = $3,200.00. Wildland gear current stock can outfit at least half of 2 classes.  Will issue to new recruits (2015 classes). $392.00 a set average. Anticipate based on previous would suggest 10 sets @$392.00=$3,920.00. Safety vests 20 @ $83.00= $1,060.00.  </t>
    </r>
  </si>
  <si>
    <r>
      <rPr>
        <b/>
        <sz val="10"/>
        <color theme="1"/>
        <rFont val="Times New Roman"/>
        <family val="1"/>
      </rPr>
      <t xml:space="preserve">NO CHANGE: </t>
    </r>
    <r>
      <rPr>
        <sz val="10"/>
        <color theme="1"/>
        <rFont val="Times New Roman"/>
        <family val="1"/>
      </rPr>
      <t xml:space="preserve">     In the last two years this has ran on target for an annual budget of $3,000.  Money spent in this accounts saves money on Structural PPE costs.  </t>
    </r>
  </si>
  <si>
    <r>
      <rPr>
        <b/>
        <sz val="10"/>
        <color theme="1"/>
        <rFont val="Times New Roman"/>
        <family val="1"/>
      </rPr>
      <t xml:space="preserve">DECREASE: </t>
    </r>
    <r>
      <rPr>
        <sz val="10"/>
        <color theme="1"/>
        <rFont val="Times New Roman"/>
        <family val="1"/>
      </rPr>
      <t xml:space="preserve"> The new apparatus being purchased in 2016 will be under warranty; therefore, the only PM cost should be oil and filters.  </t>
    </r>
  </si>
  <si>
    <r>
      <rPr>
        <b/>
        <sz val="10"/>
        <rFont val="Times New Roman"/>
        <family val="1"/>
      </rPr>
      <t xml:space="preserve">DECREASE: </t>
    </r>
    <r>
      <rPr>
        <sz val="10"/>
        <rFont val="Times New Roman"/>
        <family val="1"/>
      </rPr>
      <t xml:space="preserve">Over the past 3 years the average has been $140,000.  The decrease in the number of calls into the City of Columbia will reduce the fuel consumption; however, the new apparatus will have considerable extra miles for driver training.  </t>
    </r>
  </si>
  <si>
    <r>
      <rPr>
        <b/>
        <sz val="10"/>
        <color theme="1"/>
        <rFont val="Times New Roman"/>
        <family val="1"/>
      </rPr>
      <t xml:space="preserve">NO CHANGE: </t>
    </r>
    <r>
      <rPr>
        <sz val="10"/>
        <color theme="1"/>
        <rFont val="Times New Roman"/>
        <family val="1"/>
      </rPr>
      <t xml:space="preserve"> Includes, Cintas uniforms, lawn mowing, Rost Landscaping, Atkins pest control, Car washes monthly, fire alarm monitoring fees.  </t>
    </r>
  </si>
  <si>
    <r>
      <rPr>
        <b/>
        <sz val="10"/>
        <rFont val="Times New Roman"/>
        <family val="1"/>
      </rPr>
      <t xml:space="preserve">DECREASE:   </t>
    </r>
    <r>
      <rPr>
        <sz val="10"/>
        <rFont val="Times New Roman"/>
        <family val="1"/>
      </rPr>
      <t xml:space="preserve">Supplies for stations, toilet paper, paper towel, consumer batteries (AA, AAA,C, etc), tarps, cleaning supplies for stations.   </t>
    </r>
  </si>
  <si>
    <r>
      <rPr>
        <b/>
        <sz val="10"/>
        <rFont val="Times New Roman"/>
        <family val="1"/>
      </rPr>
      <t xml:space="preserve">DECREASE: </t>
    </r>
    <r>
      <rPr>
        <sz val="10"/>
        <rFont val="Times New Roman"/>
        <family val="1"/>
      </rPr>
      <t xml:space="preserve"> Per the 2016 Strategic Salary Plan Spreadsheet</t>
    </r>
  </si>
  <si>
    <r>
      <t xml:space="preserve">NO CHANGE:  </t>
    </r>
    <r>
      <rPr>
        <sz val="10"/>
        <rFont val="Times New Roman"/>
        <family val="1"/>
      </rPr>
      <t>Renewal rates for health benefits are flat with no increase overall</t>
    </r>
  </si>
  <si>
    <t>NO CHANGE:  The Bagpipers bring in about $2000 annually to offset the expenditures, thus only costing the Fire District $1500.</t>
  </si>
  <si>
    <r>
      <rPr>
        <b/>
        <sz val="10"/>
        <color theme="1"/>
        <rFont val="Times New Roman"/>
        <family val="1"/>
      </rPr>
      <t xml:space="preserve">DECREASE:  </t>
    </r>
    <r>
      <rPr>
        <sz val="10"/>
        <color theme="1"/>
        <rFont val="Times New Roman"/>
        <family val="1"/>
      </rPr>
      <t xml:space="preserve">This account line is for general equipment, light boxes, pike poles, equipment purchases. In 2016 will anticipate replacing  4" hose/10 sections &amp; 10 sections of 1 3/4"=$6,600, TFT Intake valve (2)=$2,400 Indian pack pumps (4)=$590.00, additional replacement items as needed.   </t>
    </r>
  </si>
  <si>
    <t>7055 · MATERIALS &amp; Supplies</t>
  </si>
  <si>
    <t>7080 · MATERIALS &amp; Supplies</t>
  </si>
  <si>
    <t>7205 · Materials &amp; Supplies</t>
  </si>
  <si>
    <t>6001 - MISCELLANEOUS EXPENSE</t>
  </si>
  <si>
    <t>7060 - EQUIPMENT</t>
  </si>
  <si>
    <t>7001 - MISCELLANEOUS EXPENSE</t>
  </si>
  <si>
    <t>7501 - MISCELLANEOUS EXPENSE</t>
  </si>
  <si>
    <t>7000 ·TRAINING &amp; OPERATIONS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</si>
</sst>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7" formatCode="&quot;$&quot;#,##0.00_);\(&quot;$&quot;#,##0.00\)"/>
    <numFmt numFmtId="8" formatCode="&quot;$&quot;#,##0.00_);[Red]\(&quot;$&quot;#,##0.00\)"/>
    <numFmt numFmtId="44" formatCode="_(&quot;$&quot;* #,##0.00_);_(&quot;$&quot;* \(#,##0.00\);_(&quot;$&quot;* &quot;-&quot;??_);_(@_)"/>
    <numFmt numFmtId="164" formatCode="#,##0.00;\-#,##0.00"/>
    <numFmt numFmtId="165" formatCode="#,##0.0#%;\-#,##0.0#%"/>
  </numFmts>
  <fonts count="12" x14ac:knownFonts="1">
    <font>
      <sz val="11"/>
      <color theme="1"/>
      <name val="Calibri"/>
      <family val="2"/>
      <scheme val="minor"/>
    </font>
    <font>
      <sz val="11"/>
      <color theme="1"/>
      <name val="Calibri"/>
      <family val="2"/>
      <scheme val="minor"/>
    </font>
    <font>
      <sz val="10"/>
      <name val="Arial"/>
      <family val="2"/>
    </font>
    <font>
      <sz val="10"/>
      <name val="Times New Roman"/>
      <family val="1"/>
    </font>
    <font>
      <b/>
      <sz val="10"/>
      <name val="Times New Roman"/>
      <family val="1"/>
    </font>
    <font>
      <sz val="10"/>
      <name val="Arial"/>
      <family val="2"/>
    </font>
    <font>
      <b/>
      <sz val="10"/>
      <color theme="0"/>
      <name val="Times New Roman"/>
      <family val="1"/>
    </font>
    <font>
      <sz val="10"/>
      <color rgb="FF000000"/>
      <name val="Times New Roman"/>
      <family val="1"/>
    </font>
    <font>
      <sz val="10"/>
      <color rgb="FFFF0000"/>
      <name val="Times New Roman"/>
      <family val="1"/>
    </font>
    <font>
      <sz val="10"/>
      <color theme="1"/>
      <name val="Times New Roman"/>
      <family val="1"/>
    </font>
    <font>
      <b/>
      <sz val="10"/>
      <color theme="1"/>
      <name val="Times New Roman"/>
      <family val="1"/>
    </font>
    <font>
      <b/>
      <sz val="10"/>
      <color rgb="FF000000"/>
      <name val="Times New Roman"/>
      <family val="1"/>
    </font>
  </fonts>
  <fills count="9">
    <fill>
      <patternFill patternType="none"/>
    </fill>
    <fill>
      <patternFill patternType="gray125"/>
    </fill>
    <fill>
      <patternFill patternType="solid">
        <fgColor theme="7" tint="0.39997558519241921"/>
        <bgColor indexed="64"/>
      </patternFill>
    </fill>
    <fill>
      <patternFill patternType="solid">
        <fgColor theme="8" tint="0.39997558519241921"/>
        <bgColor indexed="64"/>
      </patternFill>
    </fill>
    <fill>
      <patternFill patternType="solid">
        <fgColor theme="6" tint="0.59999389629810485"/>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theme="4" tint="0.39997558519241921"/>
        <bgColor indexed="64"/>
      </patternFill>
    </fill>
  </fills>
  <borders count="54">
    <border>
      <left/>
      <right/>
      <top/>
      <bottom/>
      <diagonal/>
    </border>
    <border>
      <left/>
      <right/>
      <top/>
      <bottom style="medium">
        <color indexed="64"/>
      </bottom>
      <diagonal/>
    </border>
    <border>
      <left/>
      <right/>
      <top style="medium">
        <color indexed="64"/>
      </top>
      <bottom style="medium">
        <color indexed="64"/>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top/>
      <bottom style="hair">
        <color auto="1"/>
      </bottom>
      <diagonal/>
    </border>
    <border>
      <left style="hair">
        <color auto="1"/>
      </left>
      <right/>
      <top style="hair">
        <color auto="1"/>
      </top>
      <bottom style="hair">
        <color auto="1"/>
      </bottom>
      <diagonal/>
    </border>
    <border>
      <left/>
      <right style="hair">
        <color auto="1"/>
      </right>
      <top style="hair">
        <color auto="1"/>
      </top>
      <bottom style="medium">
        <color indexed="64"/>
      </bottom>
      <diagonal/>
    </border>
    <border>
      <left style="hair">
        <color auto="1"/>
      </left>
      <right style="hair">
        <color auto="1"/>
      </right>
      <top style="hair">
        <color auto="1"/>
      </top>
      <bottom style="medium">
        <color indexed="64"/>
      </bottom>
      <diagonal/>
    </border>
    <border>
      <left style="hair">
        <color auto="1"/>
      </left>
      <right/>
      <top style="hair">
        <color auto="1"/>
      </top>
      <bottom style="medium">
        <color indexed="64"/>
      </bottom>
      <diagonal/>
    </border>
    <border>
      <left/>
      <right style="hair">
        <color auto="1"/>
      </right>
      <top style="medium">
        <color indexed="64"/>
      </top>
      <bottom style="medium">
        <color indexed="64"/>
      </bottom>
      <diagonal/>
    </border>
    <border>
      <left style="hair">
        <color auto="1"/>
      </left>
      <right style="hair">
        <color auto="1"/>
      </right>
      <top style="medium">
        <color indexed="64"/>
      </top>
      <bottom style="medium">
        <color indexed="64"/>
      </bottom>
      <diagonal/>
    </border>
    <border>
      <left style="hair">
        <color auto="1"/>
      </left>
      <right/>
      <top style="medium">
        <color indexed="64"/>
      </top>
      <bottom style="medium">
        <color indexed="64"/>
      </bottom>
      <diagonal/>
    </border>
    <border>
      <left style="hair">
        <color auto="1"/>
      </left>
      <right style="hair">
        <color auto="1"/>
      </right>
      <top/>
      <bottom style="medium">
        <color indexed="64"/>
      </bottom>
      <diagonal/>
    </border>
    <border>
      <left/>
      <right style="hair">
        <color auto="1"/>
      </right>
      <top style="hair">
        <color auto="1"/>
      </top>
      <bottom/>
      <diagonal/>
    </border>
    <border>
      <left style="hair">
        <color auto="1"/>
      </left>
      <right style="hair">
        <color auto="1"/>
      </right>
      <top style="hair">
        <color auto="1"/>
      </top>
      <bottom/>
      <diagonal/>
    </border>
    <border>
      <left/>
      <right style="hair">
        <color auto="1"/>
      </right>
      <top style="medium">
        <color indexed="64"/>
      </top>
      <bottom/>
      <diagonal/>
    </border>
    <border>
      <left style="hair">
        <color auto="1"/>
      </left>
      <right style="hair">
        <color auto="1"/>
      </right>
      <top style="medium">
        <color indexed="64"/>
      </top>
      <bottom/>
      <diagonal/>
    </border>
    <border>
      <left style="hair">
        <color auto="1"/>
      </left>
      <right/>
      <top/>
      <bottom/>
      <diagonal/>
    </border>
    <border>
      <left style="hair">
        <color auto="1"/>
      </left>
      <right/>
      <top/>
      <bottom style="medium">
        <color indexed="64"/>
      </bottom>
      <diagonal/>
    </border>
    <border>
      <left/>
      <right/>
      <top style="hair">
        <color auto="1"/>
      </top>
      <bottom style="hair">
        <color auto="1"/>
      </bottom>
      <diagonal/>
    </border>
    <border>
      <left/>
      <right/>
      <top style="hair">
        <color auto="1"/>
      </top>
      <bottom style="medium">
        <color indexed="64"/>
      </bottom>
      <diagonal/>
    </border>
    <border>
      <left style="hair">
        <color auto="1"/>
      </left>
      <right style="hair">
        <color auto="1"/>
      </right>
      <top/>
      <bottom/>
      <diagonal/>
    </border>
    <border>
      <left style="hair">
        <color auto="1"/>
      </left>
      <right/>
      <top style="hair">
        <color auto="1"/>
      </top>
      <bottom/>
      <diagonal/>
    </border>
    <border>
      <left/>
      <right style="hair">
        <color auto="1"/>
      </right>
      <top/>
      <bottom style="medium">
        <color indexed="64"/>
      </bottom>
      <diagonal/>
    </border>
    <border>
      <left style="hair">
        <color auto="1"/>
      </left>
      <right style="thin">
        <color indexed="64"/>
      </right>
      <top style="hair">
        <color auto="1"/>
      </top>
      <bottom style="hair">
        <color auto="1"/>
      </bottom>
      <diagonal/>
    </border>
    <border>
      <left/>
      <right style="thin">
        <color indexed="64"/>
      </right>
      <top style="hair">
        <color auto="1"/>
      </top>
      <bottom style="hair">
        <color auto="1"/>
      </bottom>
      <diagonal/>
    </border>
    <border>
      <left style="hair">
        <color auto="1"/>
      </left>
      <right style="thin">
        <color indexed="64"/>
      </right>
      <top style="hair">
        <color auto="1"/>
      </top>
      <bottom/>
      <diagonal/>
    </border>
    <border>
      <left style="hair">
        <color auto="1"/>
      </left>
      <right style="thin">
        <color indexed="64"/>
      </right>
      <top/>
      <bottom/>
      <diagonal/>
    </border>
    <border>
      <left style="hair">
        <color auto="1"/>
      </left>
      <right style="thin">
        <color indexed="64"/>
      </right>
      <top style="hair">
        <color auto="1"/>
      </top>
      <bottom style="medium">
        <color auto="1"/>
      </bottom>
      <diagonal/>
    </border>
    <border>
      <left/>
      <right/>
      <top/>
      <bottom style="hair">
        <color auto="1"/>
      </bottom>
      <diagonal/>
    </border>
    <border>
      <left/>
      <right/>
      <top style="hair">
        <color auto="1"/>
      </top>
      <bottom/>
      <diagonal/>
    </border>
    <border>
      <left style="hair">
        <color indexed="64"/>
      </left>
      <right style="hair">
        <color indexed="64"/>
      </right>
      <top style="medium">
        <color indexed="64"/>
      </top>
      <bottom style="hair">
        <color auto="1"/>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hair">
        <color auto="1"/>
      </left>
      <right style="hair">
        <color auto="1"/>
      </right>
      <top style="thin">
        <color indexed="64"/>
      </top>
      <bottom style="medium">
        <color indexed="64"/>
      </bottom>
      <diagonal/>
    </border>
    <border>
      <left style="hair">
        <color auto="1"/>
      </left>
      <right/>
      <top style="thin">
        <color indexed="64"/>
      </top>
      <bottom style="medium">
        <color indexed="64"/>
      </bottom>
      <diagonal/>
    </border>
    <border>
      <left style="hair">
        <color auto="1"/>
      </left>
      <right style="thin">
        <color indexed="64"/>
      </right>
      <top style="medium">
        <color indexed="64"/>
      </top>
      <bottom style="medium">
        <color indexed="64"/>
      </bottom>
      <diagonal/>
    </border>
    <border>
      <left style="hair">
        <color indexed="64"/>
      </left>
      <right/>
      <top style="medium">
        <color indexed="64"/>
      </top>
      <bottom style="hair">
        <color auto="1"/>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style="hair">
        <color auto="1"/>
      </top>
      <bottom style="hair">
        <color auto="1"/>
      </bottom>
      <diagonal/>
    </border>
    <border>
      <left/>
      <right style="medium">
        <color indexed="64"/>
      </right>
      <top/>
      <bottom style="medium">
        <color indexed="64"/>
      </bottom>
      <diagonal/>
    </border>
    <border>
      <left/>
      <right style="medium">
        <color indexed="64"/>
      </right>
      <top/>
      <bottom style="hair">
        <color auto="1"/>
      </bottom>
      <diagonal/>
    </border>
    <border>
      <left/>
      <right style="medium">
        <color indexed="64"/>
      </right>
      <top style="hair">
        <color auto="1"/>
      </top>
      <bottom style="medium">
        <color indexed="64"/>
      </bottom>
      <diagonal/>
    </border>
    <border>
      <left/>
      <right style="medium">
        <color indexed="64"/>
      </right>
      <top style="hair">
        <color auto="1"/>
      </top>
      <bottom/>
      <diagonal/>
    </border>
  </borders>
  <cellStyleXfs count="5">
    <xf numFmtId="0" fontId="0" fillId="0" borderId="0"/>
    <xf numFmtId="44" fontId="1" fillId="0" borderId="0" applyFont="0" applyFill="0" applyBorder="0" applyAlignment="0" applyProtection="0"/>
    <xf numFmtId="44" fontId="2" fillId="0" borderId="0" applyFont="0" applyFill="0" applyBorder="0" applyAlignment="0" applyProtection="0"/>
    <xf numFmtId="0" fontId="5" fillId="0" borderId="0"/>
    <xf numFmtId="0" fontId="2" fillId="0" borderId="0"/>
  </cellStyleXfs>
  <cellXfs count="364">
    <xf numFmtId="0" fontId="0" fillId="0" borderId="0" xfId="0"/>
    <xf numFmtId="0" fontId="0" fillId="0" borderId="0" xfId="0"/>
    <xf numFmtId="44" fontId="0" fillId="0" borderId="0" xfId="1" applyFont="1"/>
    <xf numFmtId="44" fontId="0" fillId="0" borderId="0" xfId="2" applyFont="1"/>
    <xf numFmtId="49" fontId="4" fillId="0" borderId="4" xfId="0" applyNumberFormat="1" applyFont="1" applyBorder="1" applyAlignment="1">
      <alignment vertical="top"/>
    </xf>
    <xf numFmtId="0" fontId="3" fillId="0" borderId="0" xfId="0" applyFont="1" applyAlignment="1">
      <alignment vertical="top"/>
    </xf>
    <xf numFmtId="49" fontId="4" fillId="0" borderId="4" xfId="0" applyNumberFormat="1" applyFont="1" applyBorder="1" applyAlignment="1"/>
    <xf numFmtId="0" fontId="3" fillId="0" borderId="0" xfId="0" applyFont="1" applyAlignment="1"/>
    <xf numFmtId="0" fontId="4" fillId="0" borderId="5" xfId="0" applyNumberFormat="1" applyFont="1" applyBorder="1" applyAlignment="1"/>
    <xf numFmtId="49" fontId="4" fillId="0" borderId="3" xfId="0" applyNumberFormat="1" applyFont="1" applyBorder="1" applyAlignment="1">
      <alignment horizontal="center" vertical="top"/>
    </xf>
    <xf numFmtId="49" fontId="4" fillId="0" borderId="2" xfId="0" applyNumberFormat="1" applyFont="1" applyBorder="1" applyAlignment="1">
      <alignment horizontal="center"/>
    </xf>
    <xf numFmtId="49" fontId="3" fillId="0" borderId="2" xfId="0" applyNumberFormat="1" applyFont="1" applyBorder="1" applyAlignment="1">
      <alignment horizontal="center"/>
    </xf>
    <xf numFmtId="8" fontId="4" fillId="0" borderId="2" xfId="0" applyNumberFormat="1" applyFont="1" applyBorder="1" applyAlignment="1">
      <alignment horizontal="center"/>
    </xf>
    <xf numFmtId="8" fontId="3" fillId="0" borderId="2" xfId="0" applyNumberFormat="1" applyFont="1" applyBorder="1" applyAlignment="1">
      <alignment horizontal="center"/>
    </xf>
    <xf numFmtId="8" fontId="4" fillId="0" borderId="2" xfId="0" applyNumberFormat="1" applyFont="1" applyBorder="1" applyAlignment="1">
      <alignment horizontal="center" wrapText="1"/>
    </xf>
    <xf numFmtId="8" fontId="3" fillId="0" borderId="2" xfId="0" applyNumberFormat="1" applyFont="1" applyBorder="1" applyAlignment="1">
      <alignment horizontal="center" wrapText="1"/>
    </xf>
    <xf numFmtId="8" fontId="4" fillId="0" borderId="2" xfId="0" applyNumberFormat="1" applyFont="1" applyFill="1" applyBorder="1" applyAlignment="1">
      <alignment horizontal="center" wrapText="1"/>
    </xf>
    <xf numFmtId="8" fontId="3" fillId="0" borderId="2" xfId="0" applyNumberFormat="1" applyFont="1" applyFill="1" applyBorder="1" applyAlignment="1">
      <alignment horizontal="center" wrapText="1"/>
    </xf>
    <xf numFmtId="44" fontId="4" fillId="0" borderId="2" xfId="1" applyFont="1" applyBorder="1" applyAlignment="1">
      <alignment horizontal="center" wrapText="1"/>
    </xf>
    <xf numFmtId="44" fontId="4" fillId="0" borderId="2" xfId="1" applyFont="1" applyBorder="1" applyAlignment="1">
      <alignment horizontal="center"/>
    </xf>
    <xf numFmtId="44" fontId="3" fillId="0" borderId="2" xfId="1" applyFont="1" applyBorder="1" applyAlignment="1">
      <alignment horizontal="center" wrapText="1"/>
    </xf>
    <xf numFmtId="44" fontId="3" fillId="0" borderId="2" xfId="1" applyFont="1" applyBorder="1" applyAlignment="1">
      <alignment horizontal="center"/>
    </xf>
    <xf numFmtId="0" fontId="3" fillId="0" borderId="2" xfId="0" applyFont="1" applyBorder="1" applyAlignment="1">
      <alignment horizontal="center"/>
    </xf>
    <xf numFmtId="8" fontId="4" fillId="0" borderId="2" xfId="1" applyNumberFormat="1" applyFont="1" applyBorder="1" applyAlignment="1">
      <alignment horizontal="center" wrapText="1"/>
    </xf>
    <xf numFmtId="0" fontId="4" fillId="0" borderId="2" xfId="0" applyFont="1" applyBorder="1" applyAlignment="1">
      <alignment horizontal="center" wrapText="1"/>
    </xf>
    <xf numFmtId="0" fontId="4" fillId="0" borderId="40" xfId="0" applyFont="1" applyBorder="1" applyAlignment="1">
      <alignment horizontal="center" wrapText="1"/>
    </xf>
    <xf numFmtId="0" fontId="3" fillId="0" borderId="0" xfId="0" applyFont="1" applyBorder="1" applyAlignment="1">
      <alignment horizontal="center" vertical="top"/>
    </xf>
    <xf numFmtId="49" fontId="4" fillId="0" borderId="41" xfId="0" applyNumberFormat="1" applyFont="1" applyBorder="1" applyAlignment="1"/>
    <xf numFmtId="49" fontId="4" fillId="0" borderId="0" xfId="0" applyNumberFormat="1" applyFont="1" applyBorder="1" applyAlignment="1"/>
    <xf numFmtId="49" fontId="4" fillId="0" borderId="0" xfId="0" applyNumberFormat="1" applyFont="1" applyBorder="1" applyAlignment="1">
      <alignment wrapText="1"/>
    </xf>
    <xf numFmtId="164" fontId="3" fillId="0" borderId="0" xfId="0" applyNumberFormat="1" applyFont="1" applyBorder="1" applyAlignment="1"/>
    <xf numFmtId="49" fontId="3" fillId="0" borderId="0" xfId="0" applyNumberFormat="1" applyFont="1" applyBorder="1" applyAlignment="1"/>
    <xf numFmtId="165" fontId="3" fillId="0" borderId="0" xfId="0" applyNumberFormat="1" applyFont="1" applyBorder="1" applyAlignment="1"/>
    <xf numFmtId="8" fontId="3" fillId="0" borderId="0" xfId="0" applyNumberFormat="1" applyFont="1" applyBorder="1" applyAlignment="1"/>
    <xf numFmtId="8" fontId="3" fillId="0" borderId="0" xfId="0" applyNumberFormat="1" applyFont="1" applyFill="1" applyBorder="1" applyAlignment="1"/>
    <xf numFmtId="44" fontId="3" fillId="0" borderId="0" xfId="1" applyFont="1" applyBorder="1" applyAlignment="1"/>
    <xf numFmtId="0" fontId="3" fillId="0" borderId="0" xfId="0" applyFont="1" applyBorder="1" applyAlignment="1"/>
    <xf numFmtId="8" fontId="3" fillId="0" borderId="0" xfId="1" applyNumberFormat="1" applyFont="1" applyBorder="1" applyAlignment="1"/>
    <xf numFmtId="0" fontId="3" fillId="0" borderId="0" xfId="1" applyNumberFormat="1" applyFont="1" applyAlignment="1">
      <alignment wrapText="1"/>
    </xf>
    <xf numFmtId="8" fontId="3" fillId="0" borderId="6" xfId="0" applyNumberFormat="1" applyFont="1" applyFill="1" applyBorder="1" applyAlignment="1"/>
    <xf numFmtId="8" fontId="3" fillId="0" borderId="7" xfId="0" applyNumberFormat="1" applyFont="1" applyFill="1" applyBorder="1" applyAlignment="1"/>
    <xf numFmtId="44" fontId="3" fillId="0" borderId="7" xfId="1" applyFont="1" applyBorder="1" applyAlignment="1"/>
    <xf numFmtId="0" fontId="3" fillId="0" borderId="7" xfId="0" applyFont="1" applyBorder="1" applyAlignment="1"/>
    <xf numFmtId="44" fontId="3" fillId="0" borderId="28" xfId="1" applyFont="1" applyBorder="1" applyAlignment="1"/>
    <xf numFmtId="0" fontId="3" fillId="0" borderId="28" xfId="0" applyFont="1" applyBorder="1" applyAlignment="1"/>
    <xf numFmtId="8" fontId="3" fillId="0" borderId="28" xfId="1" applyNumberFormat="1" applyFont="1" applyBorder="1" applyAlignment="1"/>
    <xf numFmtId="44" fontId="3" fillId="0" borderId="24" xfId="1" applyFont="1" applyBorder="1" applyAlignment="1"/>
    <xf numFmtId="0" fontId="3" fillId="0" borderId="34" xfId="0" applyFont="1" applyBorder="1" applyAlignment="1">
      <alignment wrapText="1"/>
    </xf>
    <xf numFmtId="8" fontId="3" fillId="0" borderId="1" xfId="0" applyNumberFormat="1" applyFont="1" applyFill="1" applyBorder="1" applyAlignment="1"/>
    <xf numFmtId="8" fontId="3" fillId="0" borderId="9" xfId="0" applyNumberFormat="1" applyFont="1" applyFill="1" applyBorder="1" applyAlignment="1"/>
    <xf numFmtId="8" fontId="3" fillId="0" borderId="10" xfId="0" applyNumberFormat="1" applyFont="1" applyFill="1" applyBorder="1" applyAlignment="1"/>
    <xf numFmtId="44" fontId="3" fillId="0" borderId="10" xfId="1" applyFont="1" applyBorder="1" applyAlignment="1"/>
    <xf numFmtId="8" fontId="3" fillId="0" borderId="10" xfId="0" applyNumberFormat="1" applyFont="1" applyBorder="1" applyAlignment="1"/>
    <xf numFmtId="0" fontId="3" fillId="3" borderId="10" xfId="0" applyFont="1" applyFill="1" applyBorder="1" applyAlignment="1"/>
    <xf numFmtId="44" fontId="3" fillId="0" borderId="10" xfId="1" applyFont="1" applyFill="1" applyBorder="1" applyAlignment="1"/>
    <xf numFmtId="0" fontId="3" fillId="0" borderId="10" xfId="0" applyFont="1" applyFill="1" applyBorder="1" applyAlignment="1"/>
    <xf numFmtId="8" fontId="3" fillId="0" borderId="10" xfId="1" applyNumberFormat="1" applyFont="1" applyFill="1" applyBorder="1" applyAlignment="1"/>
    <xf numFmtId="8" fontId="3" fillId="0" borderId="10" xfId="1" applyNumberFormat="1" applyFont="1" applyFill="1" applyBorder="1"/>
    <xf numFmtId="44" fontId="4" fillId="0" borderId="10" xfId="1" applyFont="1" applyFill="1" applyBorder="1" applyAlignment="1"/>
    <xf numFmtId="0" fontId="3" fillId="0" borderId="10" xfId="0" applyFont="1" applyFill="1" applyBorder="1" applyAlignment="1">
      <alignment wrapText="1"/>
    </xf>
    <xf numFmtId="44" fontId="3" fillId="0" borderId="12" xfId="1" applyFont="1" applyFill="1" applyBorder="1" applyAlignment="1"/>
    <xf numFmtId="8" fontId="3" fillId="0" borderId="12" xfId="1" applyNumberFormat="1" applyFont="1" applyFill="1" applyBorder="1" applyAlignment="1"/>
    <xf numFmtId="0" fontId="4" fillId="0" borderId="41" xfId="0" applyNumberFormat="1" applyFont="1" applyBorder="1" applyAlignment="1"/>
    <xf numFmtId="0" fontId="4" fillId="0" borderId="0" xfId="0" applyNumberFormat="1" applyFont="1" applyBorder="1" applyAlignment="1"/>
    <xf numFmtId="0" fontId="4" fillId="0" borderId="0" xfId="0" applyNumberFormat="1" applyFont="1" applyBorder="1" applyAlignment="1">
      <alignment wrapText="1"/>
    </xf>
    <xf numFmtId="0" fontId="3" fillId="0" borderId="10" xfId="0" applyFont="1" applyBorder="1" applyAlignment="1"/>
    <xf numFmtId="8" fontId="7" fillId="0" borderId="10" xfId="1" applyNumberFormat="1" applyFont="1" applyFill="1" applyBorder="1"/>
    <xf numFmtId="0" fontId="4" fillId="0" borderId="10" xfId="0" applyFont="1" applyFill="1" applyBorder="1" applyAlignment="1">
      <alignment wrapText="1"/>
    </xf>
    <xf numFmtId="164" fontId="3" fillId="0" borderId="1" xfId="0" applyNumberFormat="1" applyFont="1" applyBorder="1" applyAlignment="1"/>
    <xf numFmtId="165" fontId="3" fillId="0" borderId="1" xfId="0" applyNumberFormat="1" applyFont="1" applyBorder="1" applyAlignment="1"/>
    <xf numFmtId="8" fontId="3" fillId="0" borderId="1" xfId="0" applyNumberFormat="1" applyFont="1" applyBorder="1" applyAlignment="1"/>
    <xf numFmtId="8" fontId="3" fillId="0" borderId="13" xfId="0" applyNumberFormat="1" applyFont="1" applyFill="1" applyBorder="1" applyAlignment="1"/>
    <xf numFmtId="8" fontId="3" fillId="0" borderId="14" xfId="0" applyNumberFormat="1" applyFont="1" applyFill="1" applyBorder="1" applyAlignment="1"/>
    <xf numFmtId="44" fontId="3" fillId="0" borderId="14" xfId="1" applyFont="1" applyBorder="1" applyAlignment="1"/>
    <xf numFmtId="8" fontId="3" fillId="0" borderId="14" xfId="0" applyNumberFormat="1" applyFont="1" applyBorder="1" applyAlignment="1"/>
    <xf numFmtId="0" fontId="3" fillId="3" borderId="14" xfId="0" applyFont="1" applyFill="1" applyBorder="1" applyAlignment="1"/>
    <xf numFmtId="8" fontId="3" fillId="0" borderId="2" xfId="0" applyNumberFormat="1" applyFont="1" applyBorder="1" applyAlignment="1"/>
    <xf numFmtId="8" fontId="3" fillId="0" borderId="2" xfId="0" applyNumberFormat="1" applyFont="1" applyFill="1" applyBorder="1" applyAlignment="1"/>
    <xf numFmtId="8" fontId="3" fillId="0" borderId="7" xfId="0" applyNumberFormat="1" applyFont="1" applyBorder="1" applyAlignment="1"/>
    <xf numFmtId="44" fontId="3" fillId="0" borderId="7" xfId="1" applyFont="1" applyFill="1" applyBorder="1" applyAlignment="1"/>
    <xf numFmtId="0" fontId="3" fillId="0" borderId="7" xfId="0" applyFont="1" applyFill="1" applyBorder="1" applyAlignment="1"/>
    <xf numFmtId="8" fontId="3" fillId="0" borderId="7" xfId="1" applyNumberFormat="1" applyFont="1" applyFill="1" applyBorder="1" applyAlignment="1"/>
    <xf numFmtId="44" fontId="3" fillId="0" borderId="0" xfId="1" applyFont="1" applyFill="1" applyBorder="1" applyAlignment="1"/>
    <xf numFmtId="44" fontId="3" fillId="0" borderId="11" xfId="1" applyFont="1" applyFill="1" applyBorder="1" applyAlignment="1"/>
    <xf numFmtId="44" fontId="4" fillId="0" borderId="7" xfId="1" applyFont="1" applyFill="1" applyBorder="1" applyAlignment="1"/>
    <xf numFmtId="8" fontId="7" fillId="0" borderId="7" xfId="1" applyNumberFormat="1" applyFont="1" applyFill="1" applyBorder="1"/>
    <xf numFmtId="0" fontId="3" fillId="0" borderId="8" xfId="0" applyFont="1" applyFill="1" applyBorder="1" applyAlignment="1">
      <alignment wrapText="1"/>
    </xf>
    <xf numFmtId="0" fontId="3" fillId="6" borderId="10" xfId="0" applyFont="1" applyFill="1" applyBorder="1" applyAlignment="1"/>
    <xf numFmtId="8" fontId="3" fillId="0" borderId="0" xfId="1" applyNumberFormat="1" applyFont="1" applyFill="1" applyBorder="1" applyAlignment="1"/>
    <xf numFmtId="8" fontId="3" fillId="0" borderId="0" xfId="1" applyNumberFormat="1" applyFont="1" applyFill="1" applyBorder="1"/>
    <xf numFmtId="0" fontId="4" fillId="0" borderId="31" xfId="0" applyFont="1" applyFill="1" applyBorder="1" applyAlignment="1">
      <alignment wrapText="1"/>
    </xf>
    <xf numFmtId="0" fontId="3" fillId="0" borderId="31" xfId="0" applyFont="1" applyFill="1" applyBorder="1" applyAlignment="1">
      <alignment wrapText="1"/>
    </xf>
    <xf numFmtId="0" fontId="3" fillId="6" borderId="14" xfId="0" applyFont="1" applyFill="1" applyBorder="1" applyAlignment="1"/>
    <xf numFmtId="44" fontId="3" fillId="0" borderId="14" xfId="1" applyFont="1" applyFill="1" applyBorder="1" applyAlignment="1"/>
    <xf numFmtId="0" fontId="3" fillId="0" borderId="14" xfId="0" applyFont="1" applyFill="1" applyBorder="1" applyAlignment="1"/>
    <xf numFmtId="8" fontId="3" fillId="0" borderId="14" xfId="1" applyNumberFormat="1" applyFont="1" applyFill="1" applyBorder="1" applyAlignment="1"/>
    <xf numFmtId="8" fontId="3" fillId="0" borderId="1" xfId="1" applyNumberFormat="1" applyFont="1" applyFill="1" applyBorder="1" applyAlignment="1"/>
    <xf numFmtId="8" fontId="3" fillId="0" borderId="1" xfId="1" applyNumberFormat="1" applyFont="1" applyFill="1" applyBorder="1"/>
    <xf numFmtId="44" fontId="3" fillId="0" borderId="1" xfId="1" applyFont="1" applyFill="1" applyBorder="1" applyAlignment="1"/>
    <xf numFmtId="44" fontId="3" fillId="0" borderId="15" xfId="1" applyFont="1" applyFill="1" applyBorder="1" applyAlignment="1"/>
    <xf numFmtId="8" fontId="3" fillId="0" borderId="14" xfId="1" applyNumberFormat="1" applyFont="1" applyFill="1" applyBorder="1"/>
    <xf numFmtId="44" fontId="4" fillId="0" borderId="14" xfId="1" applyFont="1" applyFill="1" applyBorder="1" applyAlignment="1"/>
    <xf numFmtId="8" fontId="7" fillId="0" borderId="14" xfId="1" applyNumberFormat="1" applyFont="1" applyFill="1" applyBorder="1"/>
    <xf numFmtId="8" fontId="3" fillId="0" borderId="15" xfId="1" applyNumberFormat="1" applyFont="1" applyFill="1" applyBorder="1" applyAlignment="1"/>
    <xf numFmtId="44" fontId="3" fillId="0" borderId="19" xfId="1" applyFont="1" applyFill="1" applyBorder="1" applyAlignment="1"/>
    <xf numFmtId="0" fontId="3" fillId="0" borderId="19" xfId="0" applyFont="1" applyFill="1" applyBorder="1" applyAlignment="1"/>
    <xf numFmtId="8" fontId="3" fillId="0" borderId="19" xfId="1" applyNumberFormat="1" applyFont="1" applyFill="1" applyBorder="1" applyAlignment="1"/>
    <xf numFmtId="44" fontId="3" fillId="0" borderId="25" xfId="1" applyFont="1" applyFill="1" applyBorder="1" applyAlignment="1"/>
    <xf numFmtId="44" fontId="4" fillId="0" borderId="19" xfId="1" applyFont="1" applyFill="1" applyBorder="1" applyAlignment="1"/>
    <xf numFmtId="8" fontId="7" fillId="0" borderId="19" xfId="1" applyNumberFormat="1" applyFont="1" applyFill="1" applyBorder="1"/>
    <xf numFmtId="0" fontId="3" fillId="0" borderId="35" xfId="0" applyFont="1" applyFill="1" applyBorder="1" applyAlignment="1">
      <alignment wrapText="1"/>
    </xf>
    <xf numFmtId="8" fontId="3" fillId="0" borderId="25" xfId="1" applyNumberFormat="1" applyFont="1" applyFill="1" applyBorder="1" applyAlignment="1"/>
    <xf numFmtId="8" fontId="3" fillId="0" borderId="11" xfId="1" applyNumberFormat="1" applyFont="1" applyFill="1" applyBorder="1" applyAlignment="1"/>
    <xf numFmtId="0" fontId="3" fillId="0" borderId="10" xfId="0" applyFont="1" applyFill="1" applyBorder="1" applyAlignment="1">
      <alignment vertical="top"/>
    </xf>
    <xf numFmtId="0" fontId="3" fillId="0" borderId="0" xfId="0" applyFont="1" applyFill="1" applyBorder="1" applyAlignment="1">
      <alignment vertical="top"/>
    </xf>
    <xf numFmtId="8" fontId="7" fillId="0" borderId="12" xfId="1" applyNumberFormat="1" applyFont="1" applyFill="1" applyBorder="1"/>
    <xf numFmtId="0" fontId="3" fillId="0" borderId="14" xfId="0" applyFont="1" applyBorder="1" applyAlignment="1"/>
    <xf numFmtId="0" fontId="3" fillId="0" borderId="1" xfId="0" applyFont="1" applyFill="1" applyBorder="1" applyAlignment="1">
      <alignment vertical="top"/>
    </xf>
    <xf numFmtId="8" fontId="7" fillId="0" borderId="15" xfId="1" applyNumberFormat="1" applyFont="1" applyFill="1" applyBorder="1"/>
    <xf numFmtId="164" fontId="3" fillId="0" borderId="0" xfId="0" applyNumberFormat="1" applyFont="1" applyFill="1" applyBorder="1" applyAlignment="1"/>
    <xf numFmtId="49" fontId="3" fillId="0" borderId="0" xfId="0" applyNumberFormat="1" applyFont="1" applyFill="1" applyBorder="1" applyAlignment="1"/>
    <xf numFmtId="165" fontId="3" fillId="0" borderId="0" xfId="0" applyNumberFormat="1" applyFont="1" applyFill="1" applyBorder="1" applyAlignment="1"/>
    <xf numFmtId="0" fontId="3" fillId="5" borderId="14" xfId="0" applyFont="1" applyFill="1" applyBorder="1" applyAlignment="1"/>
    <xf numFmtId="44" fontId="3" fillId="0" borderId="29" xfId="1" applyFont="1" applyFill="1" applyBorder="1" applyAlignment="1"/>
    <xf numFmtId="0" fontId="3" fillId="0" borderId="41" xfId="0" applyFont="1" applyBorder="1" applyAlignment="1"/>
    <xf numFmtId="49" fontId="4" fillId="0" borderId="41" xfId="0" applyNumberFormat="1" applyFont="1" applyBorder="1" applyAlignment="1">
      <alignment horizontal="left" indent="2"/>
    </xf>
    <xf numFmtId="49" fontId="4" fillId="0" borderId="0" xfId="0" applyNumberFormat="1" applyFont="1" applyBorder="1" applyAlignment="1">
      <alignment horizontal="left" indent="2"/>
    </xf>
    <xf numFmtId="0" fontId="3" fillId="2" borderId="10" xfId="0" applyFont="1" applyFill="1" applyBorder="1" applyAlignment="1"/>
    <xf numFmtId="44" fontId="3" fillId="0" borderId="10" xfId="0" applyNumberFormat="1" applyFont="1" applyFill="1" applyBorder="1" applyAlignment="1"/>
    <xf numFmtId="8" fontId="3" fillId="0" borderId="27" xfId="1" applyNumberFormat="1" applyFont="1" applyFill="1" applyBorder="1" applyAlignment="1"/>
    <xf numFmtId="8" fontId="3" fillId="0" borderId="27" xfId="1" applyNumberFormat="1" applyFont="1" applyFill="1" applyBorder="1"/>
    <xf numFmtId="44" fontId="3" fillId="0" borderId="27" xfId="1" applyFont="1" applyFill="1" applyBorder="1" applyAlignment="1"/>
    <xf numFmtId="44" fontId="3" fillId="0" borderId="26" xfId="1" applyFont="1" applyFill="1" applyBorder="1" applyAlignment="1"/>
    <xf numFmtId="49" fontId="4" fillId="0" borderId="0" xfId="0" applyNumberFormat="1" applyFont="1" applyFill="1" applyBorder="1" applyAlignment="1"/>
    <xf numFmtId="49" fontId="4" fillId="0" borderId="0" xfId="0" applyNumberFormat="1" applyFont="1" applyFill="1" applyBorder="1" applyAlignment="1">
      <alignment wrapText="1"/>
    </xf>
    <xf numFmtId="164" fontId="3" fillId="2" borderId="0" xfId="0" applyNumberFormat="1" applyFont="1" applyFill="1" applyBorder="1" applyAlignment="1"/>
    <xf numFmtId="49" fontId="3" fillId="2" borderId="0" xfId="0" applyNumberFormat="1" applyFont="1" applyFill="1" applyBorder="1" applyAlignment="1"/>
    <xf numFmtId="165" fontId="3" fillId="2" borderId="0" xfId="0" applyNumberFormat="1" applyFont="1" applyFill="1" applyBorder="1" applyAlignment="1"/>
    <xf numFmtId="8" fontId="3" fillId="2" borderId="0" xfId="0" applyNumberFormat="1" applyFont="1" applyFill="1" applyBorder="1" applyAlignment="1"/>
    <xf numFmtId="8" fontId="3" fillId="2" borderId="9" xfId="0" applyNumberFormat="1" applyFont="1" applyFill="1" applyBorder="1" applyAlignment="1"/>
    <xf numFmtId="8" fontId="3" fillId="2" borderId="10" xfId="0" applyNumberFormat="1" applyFont="1" applyFill="1" applyBorder="1" applyAlignment="1"/>
    <xf numFmtId="44" fontId="3" fillId="2" borderId="10" xfId="1" applyFont="1" applyFill="1" applyBorder="1" applyAlignment="1"/>
    <xf numFmtId="49" fontId="4" fillId="0" borderId="1" xfId="0" applyNumberFormat="1" applyFont="1" applyBorder="1" applyAlignment="1"/>
    <xf numFmtId="49" fontId="3" fillId="0" borderId="1" xfId="0" applyNumberFormat="1" applyFont="1" applyBorder="1" applyAlignment="1"/>
    <xf numFmtId="164" fontId="3" fillId="0" borderId="2" xfId="0" applyNumberFormat="1" applyFont="1" applyBorder="1" applyAlignment="1"/>
    <xf numFmtId="165" fontId="3" fillId="0" borderId="2" xfId="0" applyNumberFormat="1" applyFont="1" applyBorder="1" applyAlignment="1"/>
    <xf numFmtId="8" fontId="3" fillId="0" borderId="20" xfId="0" applyNumberFormat="1" applyFont="1" applyFill="1" applyBorder="1" applyAlignment="1"/>
    <xf numFmtId="8" fontId="3" fillId="0" borderId="21" xfId="0" applyNumberFormat="1" applyFont="1" applyFill="1" applyBorder="1" applyAlignment="1"/>
    <xf numFmtId="44" fontId="3" fillId="0" borderId="21" xfId="1" applyFont="1" applyBorder="1" applyAlignment="1"/>
    <xf numFmtId="0" fontId="3" fillId="0" borderId="21" xfId="0" applyFont="1" applyBorder="1" applyAlignment="1"/>
    <xf numFmtId="8" fontId="3" fillId="0" borderId="22" xfId="0" applyNumberFormat="1" applyFont="1" applyFill="1" applyBorder="1" applyAlignment="1"/>
    <xf numFmtId="8" fontId="3" fillId="0" borderId="23" xfId="0" applyNumberFormat="1" applyFont="1" applyFill="1" applyBorder="1" applyAlignment="1"/>
    <xf numFmtId="44" fontId="3" fillId="0" borderId="23" xfId="1" applyFont="1" applyBorder="1" applyAlignment="1"/>
    <xf numFmtId="0" fontId="3" fillId="0" borderId="23" xfId="0" applyFont="1" applyBorder="1" applyAlignment="1"/>
    <xf numFmtId="44" fontId="3" fillId="0" borderId="28" xfId="1" applyFont="1" applyFill="1" applyBorder="1" applyAlignment="1"/>
    <xf numFmtId="0" fontId="3" fillId="0" borderId="28" xfId="0" applyFont="1" applyFill="1" applyBorder="1" applyAlignment="1"/>
    <xf numFmtId="8" fontId="3" fillId="0" borderId="28" xfId="1" applyNumberFormat="1" applyFont="1" applyFill="1" applyBorder="1" applyAlignment="1"/>
    <xf numFmtId="44" fontId="3" fillId="0" borderId="24" xfId="1" applyFont="1" applyFill="1" applyBorder="1" applyAlignment="1"/>
    <xf numFmtId="164" fontId="3" fillId="2" borderId="1" xfId="0" applyNumberFormat="1" applyFont="1" applyFill="1" applyBorder="1" applyAlignment="1"/>
    <xf numFmtId="165" fontId="3" fillId="2" borderId="1" xfId="0" applyNumberFormat="1" applyFont="1" applyFill="1" applyBorder="1" applyAlignment="1"/>
    <xf numFmtId="8" fontId="3" fillId="2" borderId="20" xfId="0" applyNumberFormat="1" applyFont="1" applyFill="1" applyBorder="1" applyAlignment="1"/>
    <xf numFmtId="8" fontId="3" fillId="2" borderId="21" xfId="0" applyNumberFormat="1" applyFont="1" applyFill="1" applyBorder="1" applyAlignment="1"/>
    <xf numFmtId="44" fontId="3" fillId="2" borderId="21" xfId="1" applyFont="1" applyFill="1" applyBorder="1" applyAlignment="1"/>
    <xf numFmtId="0" fontId="3" fillId="3" borderId="21" xfId="0" applyFont="1" applyFill="1" applyBorder="1" applyAlignment="1"/>
    <xf numFmtId="44" fontId="3" fillId="0" borderId="14" xfId="1" applyFont="1" applyFill="1" applyBorder="1" applyAlignment="1">
      <alignment horizontal="left"/>
    </xf>
    <xf numFmtId="44" fontId="4" fillId="0" borderId="21" xfId="1" applyFont="1" applyFill="1" applyBorder="1" applyAlignment="1"/>
    <xf numFmtId="0" fontId="3" fillId="0" borderId="17" xfId="0" applyFont="1" applyBorder="1" applyAlignment="1"/>
    <xf numFmtId="44" fontId="3" fillId="0" borderId="17" xfId="1" applyFont="1" applyFill="1" applyBorder="1" applyAlignment="1"/>
    <xf numFmtId="0" fontId="3" fillId="0" borderId="17" xfId="0" applyFont="1" applyFill="1" applyBorder="1" applyAlignment="1"/>
    <xf numFmtId="8" fontId="3" fillId="0" borderId="17" xfId="1" applyNumberFormat="1" applyFont="1" applyFill="1" applyBorder="1" applyAlignment="1"/>
    <xf numFmtId="0" fontId="3" fillId="0" borderId="2" xfId="0" applyFont="1" applyFill="1" applyBorder="1" applyAlignment="1">
      <alignment vertical="top"/>
    </xf>
    <xf numFmtId="44" fontId="3" fillId="0" borderId="30" xfId="1" applyFont="1" applyFill="1" applyBorder="1" applyAlignment="1"/>
    <xf numFmtId="44" fontId="8" fillId="0" borderId="19" xfId="1" applyFont="1" applyFill="1" applyBorder="1" applyAlignment="1"/>
    <xf numFmtId="8" fontId="3" fillId="0" borderId="19" xfId="1" applyNumberFormat="1" applyFont="1" applyFill="1" applyBorder="1"/>
    <xf numFmtId="44" fontId="3" fillId="0" borderId="2" xfId="1" applyFont="1" applyFill="1" applyBorder="1" applyAlignment="1"/>
    <xf numFmtId="44" fontId="3" fillId="0" borderId="6" xfId="1" applyFont="1" applyFill="1" applyBorder="1" applyAlignment="1"/>
    <xf numFmtId="8" fontId="3" fillId="0" borderId="7" xfId="1" applyNumberFormat="1" applyFont="1" applyFill="1" applyBorder="1"/>
    <xf numFmtId="44" fontId="3" fillId="0" borderId="10" xfId="1" applyFont="1" applyFill="1" applyBorder="1" applyAlignment="1">
      <alignment vertical="top"/>
    </xf>
    <xf numFmtId="44" fontId="3" fillId="0" borderId="12" xfId="1" applyFont="1" applyFill="1" applyBorder="1" applyAlignment="1">
      <alignment vertical="top"/>
    </xf>
    <xf numFmtId="44" fontId="4" fillId="0" borderId="15" xfId="1" applyFont="1" applyFill="1" applyBorder="1" applyAlignment="1"/>
    <xf numFmtId="44" fontId="4" fillId="0" borderId="0" xfId="1" applyFont="1" applyFill="1" applyBorder="1" applyAlignment="1"/>
    <xf numFmtId="0" fontId="3" fillId="0" borderId="32" xfId="0" applyFont="1" applyFill="1" applyBorder="1" applyAlignment="1">
      <alignment wrapText="1"/>
    </xf>
    <xf numFmtId="49" fontId="4" fillId="0" borderId="28" xfId="0" applyNumberFormat="1" applyFont="1" applyBorder="1" applyAlignment="1"/>
    <xf numFmtId="164" fontId="3" fillId="0" borderId="7" xfId="0" applyNumberFormat="1" applyFont="1" applyBorder="1" applyAlignment="1"/>
    <xf numFmtId="49" fontId="3" fillId="0" borderId="7" xfId="0" applyNumberFormat="1" applyFont="1" applyBorder="1" applyAlignment="1"/>
    <xf numFmtId="165" fontId="3" fillId="0" borderId="7" xfId="0" applyNumberFormat="1" applyFont="1" applyBorder="1" applyAlignment="1"/>
    <xf numFmtId="0" fontId="3" fillId="0" borderId="0" xfId="0" applyFont="1" applyFill="1" applyBorder="1" applyAlignment="1"/>
    <xf numFmtId="44" fontId="4" fillId="0" borderId="28" xfId="1" applyFont="1" applyFill="1" applyBorder="1" applyAlignment="1"/>
    <xf numFmtId="44" fontId="3" fillId="0" borderId="16" xfId="1" applyFont="1" applyFill="1" applyBorder="1" applyAlignment="1"/>
    <xf numFmtId="44" fontId="3" fillId="0" borderId="17" xfId="1" applyFont="1" applyBorder="1" applyAlignment="1"/>
    <xf numFmtId="44" fontId="3" fillId="0" borderId="18" xfId="1" applyFont="1" applyFill="1" applyBorder="1" applyAlignment="1"/>
    <xf numFmtId="44" fontId="4" fillId="0" borderId="17" xfId="1" applyFont="1" applyFill="1" applyBorder="1" applyAlignment="1"/>
    <xf numFmtId="8" fontId="7" fillId="0" borderId="17" xfId="1" applyNumberFormat="1" applyFont="1" applyFill="1" applyBorder="1"/>
    <xf numFmtId="0" fontId="3" fillId="0" borderId="31" xfId="0" applyFont="1" applyFill="1" applyBorder="1" applyAlignment="1">
      <alignment vertical="center" wrapText="1"/>
    </xf>
    <xf numFmtId="8" fontId="3" fillId="0" borderId="2" xfId="1" applyNumberFormat="1" applyFont="1" applyFill="1" applyBorder="1" applyAlignment="1"/>
    <xf numFmtId="8" fontId="3" fillId="0" borderId="6" xfId="1" applyNumberFormat="1" applyFont="1" applyFill="1" applyBorder="1" applyAlignment="1"/>
    <xf numFmtId="44" fontId="7" fillId="0" borderId="17" xfId="1" applyFont="1" applyFill="1" applyBorder="1"/>
    <xf numFmtId="44" fontId="7" fillId="0" borderId="25" xfId="1" applyFont="1" applyFill="1" applyBorder="1"/>
    <xf numFmtId="44" fontId="3" fillId="0" borderId="36" xfId="1" applyFont="1" applyFill="1" applyBorder="1" applyAlignment="1"/>
    <xf numFmtId="8" fontId="3" fillId="0" borderId="36" xfId="1" applyNumberFormat="1" applyFont="1" applyFill="1" applyBorder="1" applyAlignment="1"/>
    <xf numFmtId="8" fontId="3" fillId="0" borderId="26" xfId="1" applyNumberFormat="1" applyFont="1" applyFill="1" applyBorder="1" applyAlignment="1"/>
    <xf numFmtId="49" fontId="4" fillId="0" borderId="41" xfId="0" applyNumberFormat="1" applyFont="1" applyFill="1" applyBorder="1" applyAlignment="1"/>
    <xf numFmtId="49" fontId="4" fillId="4" borderId="0" xfId="0" applyNumberFormat="1" applyFont="1" applyFill="1" applyBorder="1" applyAlignment="1"/>
    <xf numFmtId="164" fontId="3" fillId="4" borderId="1" xfId="0" applyNumberFormat="1" applyFont="1" applyFill="1" applyBorder="1" applyAlignment="1"/>
    <xf numFmtId="49" fontId="3" fillId="4" borderId="0" xfId="0" applyNumberFormat="1" applyFont="1" applyFill="1" applyBorder="1" applyAlignment="1"/>
    <xf numFmtId="165" fontId="3" fillId="4" borderId="1" xfId="0" applyNumberFormat="1" applyFont="1" applyFill="1" applyBorder="1" applyAlignment="1"/>
    <xf numFmtId="8" fontId="3" fillId="4" borderId="0" xfId="0" applyNumberFormat="1" applyFont="1" applyFill="1" applyBorder="1" applyAlignment="1"/>
    <xf numFmtId="8" fontId="3" fillId="4" borderId="13" xfId="0" applyNumberFormat="1" applyFont="1" applyFill="1" applyBorder="1" applyAlignment="1"/>
    <xf numFmtId="8" fontId="3" fillId="4" borderId="14" xfId="0" applyNumberFormat="1" applyFont="1" applyFill="1" applyBorder="1" applyAlignment="1"/>
    <xf numFmtId="44" fontId="3" fillId="4" borderId="14" xfId="1" applyFont="1" applyFill="1" applyBorder="1" applyAlignment="1"/>
    <xf numFmtId="0" fontId="3" fillId="4" borderId="14" xfId="0" applyFont="1" applyFill="1" applyBorder="1" applyAlignment="1"/>
    <xf numFmtId="8" fontId="3" fillId="0" borderId="2" xfId="1" applyNumberFormat="1" applyFont="1" applyFill="1" applyBorder="1"/>
    <xf numFmtId="8" fontId="7" fillId="0" borderId="11" xfId="1" applyNumberFormat="1" applyFont="1" applyFill="1" applyBorder="1"/>
    <xf numFmtId="44" fontId="3" fillId="0" borderId="38" xfId="1" applyFont="1" applyFill="1" applyBorder="1" applyAlignment="1"/>
    <xf numFmtId="44" fontId="3" fillId="0" borderId="46" xfId="1" applyFont="1" applyFill="1" applyBorder="1" applyAlignment="1"/>
    <xf numFmtId="8" fontId="3" fillId="0" borderId="46" xfId="1" applyNumberFormat="1" applyFont="1" applyFill="1" applyBorder="1" applyAlignment="1"/>
    <xf numFmtId="0" fontId="9" fillId="0" borderId="31" xfId="0" applyFont="1" applyFill="1" applyBorder="1" applyAlignment="1">
      <alignment wrapText="1"/>
    </xf>
    <xf numFmtId="44" fontId="9" fillId="0" borderId="10" xfId="1" applyFont="1" applyFill="1" applyBorder="1" applyAlignment="1">
      <alignment horizontal="center"/>
    </xf>
    <xf numFmtId="44" fontId="9" fillId="0" borderId="12" xfId="1" applyFont="1" applyFill="1" applyBorder="1" applyAlignment="1">
      <alignment horizontal="center"/>
    </xf>
    <xf numFmtId="44" fontId="9" fillId="0" borderId="14" xfId="1" applyFont="1" applyFill="1" applyBorder="1" applyAlignment="1">
      <alignment horizontal="center" wrapText="1"/>
    </xf>
    <xf numFmtId="44" fontId="9" fillId="0" borderId="15" xfId="1" applyFont="1" applyFill="1" applyBorder="1" applyAlignment="1">
      <alignment horizontal="center" wrapText="1"/>
    </xf>
    <xf numFmtId="8" fontId="7" fillId="0" borderId="21" xfId="1" applyNumberFormat="1" applyFont="1" applyFill="1" applyBorder="1"/>
    <xf numFmtId="44" fontId="3" fillId="0" borderId="21" xfId="1" applyFont="1" applyFill="1" applyBorder="1" applyAlignment="1"/>
    <xf numFmtId="44" fontId="3" fillId="0" borderId="37" xfId="1" applyFont="1" applyFill="1" applyBorder="1" applyAlignment="1"/>
    <xf numFmtId="8" fontId="3" fillId="0" borderId="37" xfId="1" applyNumberFormat="1" applyFont="1" applyFill="1" applyBorder="1" applyAlignment="1"/>
    <xf numFmtId="0" fontId="9" fillId="0" borderId="12" xfId="0" applyFont="1" applyFill="1" applyBorder="1" applyAlignment="1">
      <alignment wrapText="1"/>
    </xf>
    <xf numFmtId="44" fontId="9" fillId="0" borderId="10" xfId="1" applyFont="1" applyFill="1" applyBorder="1" applyAlignment="1">
      <alignment horizontal="center" wrapText="1"/>
    </xf>
    <xf numFmtId="44" fontId="9" fillId="0" borderId="12" xfId="1" applyFont="1" applyFill="1" applyBorder="1" applyAlignment="1">
      <alignment horizontal="center" wrapText="1"/>
    </xf>
    <xf numFmtId="44" fontId="3" fillId="0" borderId="9" xfId="1" applyFont="1" applyFill="1" applyBorder="1" applyAlignment="1"/>
    <xf numFmtId="0" fontId="3" fillId="0" borderId="12" xfId="0" applyFont="1" applyFill="1" applyBorder="1" applyAlignment="1">
      <alignment wrapText="1"/>
    </xf>
    <xf numFmtId="8" fontId="3" fillId="0" borderId="7" xfId="1" applyNumberFormat="1" applyFont="1" applyBorder="1" applyAlignment="1"/>
    <xf numFmtId="0" fontId="10" fillId="0" borderId="31" xfId="0" applyFont="1" applyFill="1" applyBorder="1" applyAlignment="1">
      <alignment wrapText="1"/>
    </xf>
    <xf numFmtId="44" fontId="3" fillId="0" borderId="10" xfId="1" applyNumberFormat="1" applyFont="1" applyFill="1" applyBorder="1" applyAlignment="1"/>
    <xf numFmtId="8" fontId="3" fillId="0" borderId="12" xfId="1" applyNumberFormat="1" applyFont="1" applyFill="1" applyBorder="1"/>
    <xf numFmtId="8" fontId="3" fillId="0" borderId="14" xfId="1" applyNumberFormat="1" applyFont="1" applyBorder="1" applyAlignment="1"/>
    <xf numFmtId="44" fontId="3" fillId="0" borderId="15" xfId="1" applyFont="1" applyBorder="1" applyAlignment="1"/>
    <xf numFmtId="44" fontId="4" fillId="0" borderId="14" xfId="1" applyFont="1" applyBorder="1" applyAlignment="1"/>
    <xf numFmtId="8" fontId="7" fillId="0" borderId="14" xfId="1" applyNumberFormat="1" applyFont="1" applyBorder="1"/>
    <xf numFmtId="44" fontId="4" fillId="0" borderId="10" xfId="1" applyFont="1" applyBorder="1" applyAlignment="1"/>
    <xf numFmtId="0" fontId="9" fillId="0" borderId="31" xfId="0" applyFont="1" applyBorder="1" applyAlignment="1">
      <alignment wrapText="1"/>
    </xf>
    <xf numFmtId="8" fontId="7" fillId="0" borderId="15" xfId="1" applyNumberFormat="1" applyFont="1" applyBorder="1"/>
    <xf numFmtId="8" fontId="3" fillId="0" borderId="17" xfId="1" applyNumberFormat="1" applyFont="1" applyBorder="1" applyAlignment="1"/>
    <xf numFmtId="44" fontId="3" fillId="0" borderId="18" xfId="1" applyFont="1" applyBorder="1" applyAlignment="1"/>
    <xf numFmtId="44" fontId="4" fillId="0" borderId="17" xfId="1" applyFont="1" applyBorder="1" applyAlignment="1"/>
    <xf numFmtId="8" fontId="7" fillId="0" borderId="17" xfId="1" applyNumberFormat="1" applyFont="1" applyBorder="1"/>
    <xf numFmtId="0" fontId="3" fillId="0" borderId="31" xfId="0" applyFont="1" applyBorder="1" applyAlignment="1">
      <alignment wrapText="1"/>
    </xf>
    <xf numFmtId="44" fontId="3" fillId="0" borderId="11" xfId="1" applyFont="1" applyBorder="1" applyAlignment="1"/>
    <xf numFmtId="44" fontId="4" fillId="0" borderId="7" xfId="1" applyFont="1" applyBorder="1" applyAlignment="1"/>
    <xf numFmtId="8" fontId="7" fillId="0" borderId="7" xfId="1" applyNumberFormat="1" applyFont="1" applyBorder="1"/>
    <xf numFmtId="164" fontId="3" fillId="0" borderId="1" xfId="0" applyNumberFormat="1" applyFont="1" applyFill="1" applyBorder="1" applyAlignment="1"/>
    <xf numFmtId="8" fontId="3" fillId="0" borderId="14" xfId="1" applyNumberFormat="1" applyFont="1" applyBorder="1"/>
    <xf numFmtId="0" fontId="4" fillId="0" borderId="31" xfId="0" applyFont="1" applyBorder="1" applyAlignment="1">
      <alignment wrapText="1"/>
    </xf>
    <xf numFmtId="8" fontId="3" fillId="0" borderId="10" xfId="1" applyNumberFormat="1" applyFont="1" applyBorder="1" applyAlignment="1"/>
    <xf numFmtId="44" fontId="3" fillId="0" borderId="12" xfId="1" applyFont="1" applyBorder="1" applyAlignment="1"/>
    <xf numFmtId="8" fontId="7" fillId="0" borderId="10" xfId="1" applyNumberFormat="1" applyFont="1" applyBorder="1"/>
    <xf numFmtId="8" fontId="7" fillId="0" borderId="21" xfId="1" applyNumberFormat="1" applyFont="1" applyBorder="1"/>
    <xf numFmtId="8" fontId="7" fillId="0" borderId="12" xfId="1" applyNumberFormat="1" applyFont="1" applyBorder="1"/>
    <xf numFmtId="8" fontId="7" fillId="0" borderId="0" xfId="1" applyNumberFormat="1" applyFont="1" applyBorder="1"/>
    <xf numFmtId="44" fontId="9" fillId="0" borderId="0" xfId="1" applyFont="1" applyFill="1" applyBorder="1" applyAlignment="1">
      <alignment horizontal="center" wrapText="1"/>
    </xf>
    <xf numFmtId="0" fontId="4" fillId="0" borderId="41" xfId="0" applyFont="1" applyBorder="1" applyAlignment="1"/>
    <xf numFmtId="44" fontId="3" fillId="0" borderId="9" xfId="2" applyFont="1" applyBorder="1" applyAlignment="1">
      <alignment horizontal="left"/>
    </xf>
    <xf numFmtId="44" fontId="3" fillId="0" borderId="10" xfId="2" applyFont="1" applyBorder="1" applyAlignment="1">
      <alignment horizontal="left"/>
    </xf>
    <xf numFmtId="0" fontId="3" fillId="0" borderId="21" xfId="0" applyFont="1" applyFill="1" applyBorder="1" applyAlignment="1"/>
    <xf numFmtId="8" fontId="3" fillId="0" borderId="21" xfId="1" applyNumberFormat="1" applyFont="1" applyFill="1" applyBorder="1" applyAlignment="1"/>
    <xf numFmtId="0" fontId="4" fillId="0" borderId="35" xfId="0" applyFont="1" applyFill="1" applyBorder="1" applyAlignment="1">
      <alignment wrapText="1"/>
    </xf>
    <xf numFmtId="0" fontId="3" fillId="0" borderId="1" xfId="0" applyNumberFormat="1" applyFont="1" applyBorder="1" applyAlignment="1"/>
    <xf numFmtId="8" fontId="3" fillId="0" borderId="30" xfId="1" applyNumberFormat="1" applyFont="1" applyBorder="1" applyAlignment="1"/>
    <xf numFmtId="44" fontId="3" fillId="0" borderId="19" xfId="1" applyFont="1" applyBorder="1" applyAlignment="1"/>
    <xf numFmtId="0" fontId="3" fillId="0" borderId="19" xfId="0" applyFont="1" applyBorder="1" applyAlignment="1"/>
    <xf numFmtId="44" fontId="4" fillId="0" borderId="43" xfId="1" applyFont="1" applyBorder="1" applyAlignment="1"/>
    <xf numFmtId="0" fontId="4" fillId="0" borderId="43" xfId="0" applyFont="1" applyBorder="1" applyAlignment="1"/>
    <xf numFmtId="8" fontId="4" fillId="0" borderId="43" xfId="1" applyNumberFormat="1" applyFont="1" applyBorder="1" applyAlignment="1"/>
    <xf numFmtId="44" fontId="4" fillId="0" borderId="44" xfId="1" applyFont="1" applyBorder="1" applyAlignment="1"/>
    <xf numFmtId="8" fontId="11" fillId="0" borderId="17" xfId="1" applyNumberFormat="1" applyFont="1" applyBorder="1"/>
    <xf numFmtId="0" fontId="3" fillId="0" borderId="45" xfId="0" applyFont="1" applyBorder="1" applyAlignment="1">
      <alignment wrapText="1"/>
    </xf>
    <xf numFmtId="44" fontId="4" fillId="0" borderId="2" xfId="1" applyFont="1" applyBorder="1" applyAlignment="1"/>
    <xf numFmtId="0" fontId="4" fillId="0" borderId="0" xfId="0" applyNumberFormat="1" applyFont="1" applyAlignment="1">
      <alignment vertical="top"/>
    </xf>
    <xf numFmtId="0" fontId="4" fillId="0" borderId="0" xfId="0" applyNumberFormat="1" applyFont="1" applyAlignment="1"/>
    <xf numFmtId="0" fontId="4" fillId="0" borderId="0" xfId="0" applyNumberFormat="1" applyFont="1" applyAlignment="1">
      <alignment wrapText="1"/>
    </xf>
    <xf numFmtId="0" fontId="3" fillId="0" borderId="0" xfId="0" applyNumberFormat="1" applyFont="1" applyAlignment="1"/>
    <xf numFmtId="8" fontId="3" fillId="0" borderId="0" xfId="0" applyNumberFormat="1" applyFont="1" applyAlignment="1"/>
    <xf numFmtId="8" fontId="3" fillId="0" borderId="0" xfId="0" applyNumberFormat="1" applyFont="1" applyFill="1" applyAlignment="1"/>
    <xf numFmtId="44" fontId="3" fillId="0" borderId="0" xfId="1" applyFont="1" applyAlignment="1"/>
    <xf numFmtId="8" fontId="3" fillId="0" borderId="0" xfId="1" applyNumberFormat="1" applyFont="1" applyAlignment="1"/>
    <xf numFmtId="0" fontId="3" fillId="0" borderId="0" xfId="0" applyFont="1" applyAlignment="1">
      <alignment wrapText="1"/>
    </xf>
    <xf numFmtId="8" fontId="8" fillId="0" borderId="27" xfId="1" applyNumberFormat="1" applyFont="1" applyFill="1" applyBorder="1" applyAlignment="1"/>
    <xf numFmtId="8" fontId="4" fillId="0" borderId="2" xfId="1" applyNumberFormat="1" applyFont="1" applyFill="1" applyBorder="1" applyAlignment="1"/>
    <xf numFmtId="49" fontId="4" fillId="0" borderId="0" xfId="0" applyNumberFormat="1" applyFont="1" applyBorder="1" applyAlignment="1">
      <alignment horizontal="left" indent="3"/>
    </xf>
    <xf numFmtId="49" fontId="4" fillId="0" borderId="0" xfId="0" applyNumberFormat="1" applyFont="1" applyBorder="1" applyAlignment="1">
      <alignment horizontal="left"/>
    </xf>
    <xf numFmtId="49" fontId="4" fillId="0" borderId="41" xfId="0" applyNumberFormat="1" applyFont="1" applyBorder="1" applyAlignment="1">
      <alignment horizontal="left"/>
    </xf>
    <xf numFmtId="49" fontId="4" fillId="0" borderId="0" xfId="0" applyNumberFormat="1" applyFont="1" applyBorder="1" applyAlignment="1">
      <alignment horizontal="left" wrapText="1"/>
    </xf>
    <xf numFmtId="0" fontId="4" fillId="0" borderId="47" xfId="1" applyNumberFormat="1" applyFont="1" applyBorder="1" applyAlignment="1">
      <alignment horizontal="center" wrapText="1"/>
    </xf>
    <xf numFmtId="0" fontId="3" fillId="0" borderId="48" xfId="1" applyNumberFormat="1" applyFont="1" applyBorder="1" applyAlignment="1">
      <alignment wrapText="1"/>
    </xf>
    <xf numFmtId="0" fontId="3" fillId="8" borderId="49" xfId="1" applyNumberFormat="1" applyFont="1" applyFill="1" applyBorder="1" applyAlignment="1">
      <alignment wrapText="1"/>
    </xf>
    <xf numFmtId="0" fontId="3" fillId="0" borderId="49" xfId="1" applyNumberFormat="1" applyFont="1" applyFill="1" applyBorder="1" applyAlignment="1">
      <alignment wrapText="1"/>
    </xf>
    <xf numFmtId="0" fontId="4" fillId="7" borderId="49" xfId="1" applyNumberFormat="1" applyFont="1" applyFill="1" applyBorder="1" applyAlignment="1">
      <alignment wrapText="1"/>
    </xf>
    <xf numFmtId="0" fontId="3" fillId="7" borderId="48" xfId="1" applyNumberFormat="1" applyFont="1" applyFill="1" applyBorder="1" applyAlignment="1">
      <alignment wrapText="1"/>
    </xf>
    <xf numFmtId="0" fontId="4" fillId="7" borderId="50" xfId="1" applyNumberFormat="1" applyFont="1" applyFill="1" applyBorder="1" applyAlignment="1">
      <alignment wrapText="1"/>
    </xf>
    <xf numFmtId="0" fontId="3" fillId="8" borderId="48" xfId="1" applyNumberFormat="1" applyFont="1" applyFill="1" applyBorder="1" applyAlignment="1">
      <alignment wrapText="1"/>
    </xf>
    <xf numFmtId="0" fontId="3" fillId="0" borderId="51" xfId="1" applyNumberFormat="1" applyFont="1" applyFill="1" applyBorder="1" applyAlignment="1">
      <alignment wrapText="1"/>
    </xf>
    <xf numFmtId="0" fontId="4" fillId="8" borderId="52" xfId="1" applyNumberFormat="1" applyFont="1" applyFill="1" applyBorder="1" applyAlignment="1">
      <alignment wrapText="1"/>
    </xf>
    <xf numFmtId="0" fontId="3" fillId="7" borderId="49" xfId="1" applyNumberFormat="1" applyFont="1" applyFill="1" applyBorder="1" applyAlignment="1">
      <alignment wrapText="1"/>
    </xf>
    <xf numFmtId="0" fontId="3" fillId="7" borderId="52" xfId="1" applyNumberFormat="1" applyFont="1" applyFill="1" applyBorder="1" applyAlignment="1">
      <alignment wrapText="1"/>
    </xf>
    <xf numFmtId="0" fontId="4" fillId="7" borderId="51" xfId="1" applyNumberFormat="1" applyFont="1" applyFill="1" applyBorder="1" applyAlignment="1">
      <alignment wrapText="1"/>
    </xf>
    <xf numFmtId="0" fontId="4" fillId="7" borderId="52" xfId="1" applyNumberFormat="1" applyFont="1" applyFill="1" applyBorder="1" applyAlignment="1">
      <alignment wrapText="1"/>
    </xf>
    <xf numFmtId="0" fontId="3" fillId="0" borderId="50" xfId="1" applyNumberFormat="1" applyFont="1" applyFill="1" applyBorder="1" applyAlignment="1">
      <alignment wrapText="1"/>
    </xf>
    <xf numFmtId="0" fontId="3" fillId="5" borderId="49" xfId="1" applyNumberFormat="1" applyFont="1" applyFill="1" applyBorder="1" applyAlignment="1">
      <alignment wrapText="1"/>
    </xf>
    <xf numFmtId="0" fontId="4" fillId="5" borderId="49" xfId="1" applyNumberFormat="1" applyFont="1" applyFill="1" applyBorder="1" applyAlignment="1">
      <alignment wrapText="1"/>
    </xf>
    <xf numFmtId="0" fontId="4" fillId="8" borderId="49" xfId="1" applyNumberFormat="1" applyFont="1" applyFill="1" applyBorder="1" applyAlignment="1">
      <alignment wrapText="1"/>
    </xf>
    <xf numFmtId="0" fontId="4" fillId="0" borderId="49" xfId="1" applyNumberFormat="1" applyFont="1" applyFill="1" applyBorder="1" applyAlignment="1">
      <alignment wrapText="1"/>
    </xf>
    <xf numFmtId="0" fontId="3" fillId="0" borderId="47" xfId="1" applyNumberFormat="1" applyFont="1" applyBorder="1" applyAlignment="1">
      <alignment wrapText="1"/>
    </xf>
    <xf numFmtId="0" fontId="3" fillId="0" borderId="51" xfId="1" applyNumberFormat="1" applyFont="1" applyBorder="1" applyAlignment="1">
      <alignment wrapText="1"/>
    </xf>
    <xf numFmtId="0" fontId="3" fillId="0" borderId="49" xfId="1" applyNumberFormat="1" applyFont="1" applyBorder="1" applyAlignment="1">
      <alignment wrapText="1"/>
    </xf>
    <xf numFmtId="0" fontId="10" fillId="8" borderId="49" xfId="1" applyNumberFormat="1" applyFont="1" applyFill="1" applyBorder="1" applyAlignment="1">
      <alignment wrapText="1"/>
    </xf>
    <xf numFmtId="0" fontId="9" fillId="8" borderId="52" xfId="1" applyNumberFormat="1" applyFont="1" applyFill="1" applyBorder="1" applyAlignment="1">
      <alignment wrapText="1"/>
    </xf>
    <xf numFmtId="0" fontId="10" fillId="8" borderId="53" xfId="1" applyNumberFormat="1" applyFont="1" applyFill="1" applyBorder="1" applyAlignment="1">
      <alignment wrapText="1"/>
    </xf>
    <xf numFmtId="0" fontId="9" fillId="8" borderId="49" xfId="1" applyNumberFormat="1" applyFont="1" applyFill="1" applyBorder="1" applyAlignment="1">
      <alignment wrapText="1"/>
    </xf>
    <xf numFmtId="0" fontId="3" fillId="0" borderId="53" xfId="1" applyNumberFormat="1" applyFont="1" applyBorder="1" applyAlignment="1">
      <alignment wrapText="1"/>
    </xf>
    <xf numFmtId="0" fontId="10" fillId="7" borderId="49" xfId="1" applyNumberFormat="1" applyFont="1" applyFill="1" applyBorder="1" applyAlignment="1">
      <alignment wrapText="1"/>
    </xf>
    <xf numFmtId="0" fontId="9" fillId="7" borderId="52" xfId="1" applyNumberFormat="1" applyFont="1" applyFill="1" applyBorder="1" applyAlignment="1">
      <alignment wrapText="1"/>
    </xf>
    <xf numFmtId="0" fontId="3" fillId="8" borderId="52" xfId="1" applyNumberFormat="1" applyFont="1" applyFill="1" applyBorder="1" applyAlignment="1">
      <alignment wrapText="1"/>
    </xf>
    <xf numFmtId="0" fontId="9" fillId="7" borderId="49" xfId="1" applyNumberFormat="1" applyFont="1" applyFill="1" applyBorder="1" applyAlignment="1">
      <alignment wrapText="1"/>
    </xf>
    <xf numFmtId="0" fontId="3" fillId="0" borderId="50" xfId="1" applyNumberFormat="1" applyFont="1" applyBorder="1" applyAlignment="1">
      <alignment wrapText="1"/>
    </xf>
    <xf numFmtId="0" fontId="6" fillId="0" borderId="47" xfId="1" applyNumberFormat="1" applyFont="1" applyFill="1" applyBorder="1" applyAlignment="1">
      <alignment wrapText="1"/>
    </xf>
    <xf numFmtId="7" fontId="8" fillId="0" borderId="18" xfId="1" applyNumberFormat="1" applyFont="1" applyFill="1" applyBorder="1" applyAlignment="1"/>
    <xf numFmtId="49" fontId="4" fillId="0" borderId="0" xfId="0" applyNumberFormat="1" applyFont="1" applyBorder="1" applyAlignment="1">
      <alignment horizontal="left" indent="3"/>
    </xf>
    <xf numFmtId="49" fontId="4" fillId="0" borderId="0" xfId="0" applyNumberFormat="1" applyFont="1" applyBorder="1" applyAlignment="1">
      <alignment horizontal="left"/>
    </xf>
    <xf numFmtId="49" fontId="4" fillId="0" borderId="41" xfId="0" applyNumberFormat="1" applyFont="1" applyBorder="1" applyAlignment="1">
      <alignment horizontal="left"/>
    </xf>
    <xf numFmtId="49" fontId="4" fillId="0" borderId="0" xfId="0" applyNumberFormat="1" applyFont="1" applyBorder="1" applyAlignment="1">
      <alignment horizontal="left" wrapText="1"/>
    </xf>
    <xf numFmtId="49" fontId="4" fillId="0" borderId="0" xfId="0" applyNumberFormat="1" applyFont="1" applyFill="1" applyBorder="1" applyAlignment="1">
      <alignment horizontal="left"/>
    </xf>
    <xf numFmtId="49" fontId="4" fillId="0" borderId="41" xfId="0" applyNumberFormat="1" applyFont="1" applyFill="1" applyBorder="1" applyAlignment="1">
      <alignment horizontal="left"/>
    </xf>
    <xf numFmtId="164" fontId="3" fillId="0" borderId="2" xfId="0" applyNumberFormat="1" applyFont="1" applyFill="1" applyBorder="1" applyAlignment="1"/>
    <xf numFmtId="165" fontId="3" fillId="0" borderId="2" xfId="0" applyNumberFormat="1" applyFont="1" applyFill="1" applyBorder="1" applyAlignment="1"/>
    <xf numFmtId="165" fontId="3" fillId="0" borderId="1" xfId="0" applyNumberFormat="1" applyFont="1" applyFill="1" applyBorder="1" applyAlignment="1"/>
    <xf numFmtId="49" fontId="4" fillId="0" borderId="28" xfId="0" applyNumberFormat="1" applyFont="1" applyFill="1" applyBorder="1" applyAlignment="1"/>
    <xf numFmtId="164" fontId="3" fillId="0" borderId="7" xfId="0" applyNumberFormat="1" applyFont="1" applyFill="1" applyBorder="1" applyAlignment="1"/>
    <xf numFmtId="49" fontId="3" fillId="0" borderId="7" xfId="0" applyNumberFormat="1" applyFont="1" applyFill="1" applyBorder="1" applyAlignment="1"/>
    <xf numFmtId="165" fontId="3" fillId="0" borderId="7" xfId="0" applyNumberFormat="1" applyFont="1" applyFill="1" applyBorder="1" applyAlignment="1"/>
    <xf numFmtId="0" fontId="3" fillId="0" borderId="41" xfId="0" applyFont="1" applyFill="1" applyBorder="1" applyAlignment="1"/>
    <xf numFmtId="8" fontId="7" fillId="0" borderId="0" xfId="1" applyNumberFormat="1" applyFont="1" applyFill="1" applyBorder="1"/>
    <xf numFmtId="0" fontId="4" fillId="0" borderId="41" xfId="0" applyFont="1" applyFill="1" applyBorder="1" applyAlignment="1"/>
    <xf numFmtId="49" fontId="4" fillId="0" borderId="41" xfId="0" applyNumberFormat="1" applyFont="1" applyBorder="1" applyAlignment="1">
      <alignment horizontal="left"/>
    </xf>
    <xf numFmtId="49" fontId="4" fillId="0" borderId="0" xfId="0" applyNumberFormat="1" applyFont="1" applyBorder="1" applyAlignment="1">
      <alignment horizontal="left"/>
    </xf>
    <xf numFmtId="49" fontId="4" fillId="0" borderId="0" xfId="0" applyNumberFormat="1" applyFont="1" applyFill="1" applyBorder="1" applyAlignment="1">
      <alignment horizontal="left"/>
    </xf>
    <xf numFmtId="49" fontId="4" fillId="0" borderId="41" xfId="0" applyNumberFormat="1" applyFont="1" applyFill="1" applyBorder="1" applyAlignment="1">
      <alignment horizontal="left"/>
    </xf>
    <xf numFmtId="49" fontId="4" fillId="0" borderId="0" xfId="0" applyNumberFormat="1" applyFont="1" applyBorder="1" applyAlignment="1">
      <alignment horizontal="left" wrapText="1"/>
    </xf>
    <xf numFmtId="44" fontId="3" fillId="0" borderId="0" xfId="0" applyNumberFormat="1" applyFont="1" applyAlignment="1">
      <alignment vertical="top"/>
    </xf>
    <xf numFmtId="49" fontId="4" fillId="0" borderId="41" xfId="0" applyNumberFormat="1" applyFont="1" applyBorder="1" applyAlignment="1">
      <alignment horizontal="left"/>
    </xf>
    <xf numFmtId="49" fontId="4" fillId="0" borderId="0" xfId="0" applyNumberFormat="1" applyFont="1" applyBorder="1" applyAlignment="1">
      <alignment horizontal="left"/>
    </xf>
    <xf numFmtId="0" fontId="4" fillId="0" borderId="42" xfId="0" applyNumberFormat="1" applyFont="1" applyBorder="1" applyAlignment="1">
      <alignment horizontal="right"/>
    </xf>
    <xf numFmtId="0" fontId="4" fillId="0" borderId="1" xfId="0" applyNumberFormat="1" applyFont="1" applyBorder="1" applyAlignment="1">
      <alignment horizontal="right"/>
    </xf>
    <xf numFmtId="49" fontId="4" fillId="0" borderId="0" xfId="0" applyNumberFormat="1" applyFont="1" applyFill="1" applyBorder="1" applyAlignment="1">
      <alignment horizontal="left" wrapText="1"/>
    </xf>
    <xf numFmtId="0" fontId="3" fillId="0" borderId="33" xfId="0" applyFont="1" applyFill="1" applyBorder="1" applyAlignment="1">
      <alignment horizontal="left" vertical="center" wrapText="1"/>
    </xf>
    <xf numFmtId="0" fontId="3" fillId="0" borderId="8" xfId="0" applyFont="1" applyFill="1" applyBorder="1" applyAlignment="1">
      <alignment horizontal="left" vertical="center" wrapText="1"/>
    </xf>
    <xf numFmtId="49" fontId="4" fillId="0" borderId="0" xfId="0" applyNumberFormat="1" applyFont="1" applyFill="1" applyBorder="1" applyAlignment="1">
      <alignment horizontal="left"/>
    </xf>
    <xf numFmtId="49" fontId="4" fillId="0" borderId="41" xfId="0" applyNumberFormat="1" applyFont="1" applyFill="1" applyBorder="1" applyAlignment="1">
      <alignment horizontal="left"/>
    </xf>
    <xf numFmtId="49" fontId="4" fillId="0" borderId="0" xfId="0" applyNumberFormat="1" applyFont="1" applyBorder="1" applyAlignment="1">
      <alignment horizontal="left" indent="3"/>
    </xf>
    <xf numFmtId="0" fontId="4" fillId="0" borderId="39" xfId="0" applyFont="1" applyBorder="1" applyAlignment="1">
      <alignment horizontal="left"/>
    </xf>
    <xf numFmtId="0" fontId="4" fillId="0" borderId="2" xfId="0" applyFont="1" applyBorder="1" applyAlignment="1">
      <alignment horizontal="left"/>
    </xf>
    <xf numFmtId="0" fontId="3" fillId="0" borderId="33" xfId="0" applyFont="1" applyFill="1" applyBorder="1" applyAlignment="1">
      <alignment horizontal="left" wrapText="1"/>
    </xf>
    <xf numFmtId="0" fontId="3" fillId="0" borderId="34" xfId="0" applyFont="1" applyFill="1" applyBorder="1" applyAlignment="1">
      <alignment horizontal="left" wrapText="1"/>
    </xf>
    <xf numFmtId="0" fontId="3" fillId="0" borderId="8" xfId="0" applyFont="1" applyFill="1" applyBorder="1" applyAlignment="1">
      <alignment horizontal="left" wrapText="1"/>
    </xf>
    <xf numFmtId="0" fontId="3" fillId="0" borderId="34" xfId="0" applyFont="1" applyFill="1" applyBorder="1" applyAlignment="1">
      <alignment horizontal="left" vertical="center" wrapText="1"/>
    </xf>
    <xf numFmtId="49" fontId="4" fillId="0" borderId="0" xfId="0" applyNumberFormat="1" applyFont="1" applyBorder="1" applyAlignment="1">
      <alignment horizontal="left" wrapText="1"/>
    </xf>
  </cellXfs>
  <cellStyles count="5">
    <cellStyle name="Currency" xfId="1" builtinId="4"/>
    <cellStyle name="Currency 2" xfId="2"/>
    <cellStyle name="Normal" xfId="0" builtinId="0"/>
    <cellStyle name="Normal 2" xfId="3"/>
    <cellStyle name="Normal 2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customProperty" Target="../customProperty2.bin"/></Relationships>
</file>

<file path=xl/worksheets/_rels/sheet4.xml.rels><?xml version="1.0" encoding="UTF-8" standalone="yes"?>
<Relationships xmlns="http://schemas.openxmlformats.org/package/2006/relationships"><Relationship Id="rId1" Type="http://schemas.openxmlformats.org/officeDocument/2006/relationships/customProperty" Target="../customProperty3.bin"/></Relationships>
</file>

<file path=xl/worksheets/_rels/sheet5.xml.rels><?xml version="1.0" encoding="UTF-8" standalone="yes"?>
<Relationships xmlns="http://schemas.openxmlformats.org/package/2006/relationships"><Relationship Id="rId1" Type="http://schemas.openxmlformats.org/officeDocument/2006/relationships/customProperty" Target="../customProperty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L186"/>
  <sheetViews>
    <sheetView tabSelected="1" view="pageLayout" topLeftCell="B1" zoomScaleNormal="130" workbookViewId="0">
      <selection activeCell="CL11" sqref="CL11"/>
    </sheetView>
  </sheetViews>
  <sheetFormatPr defaultRowHeight="12.75" x14ac:dyDescent="0.2"/>
  <cols>
    <col min="1" max="1" width="27" style="276" hidden="1" customWidth="1"/>
    <col min="2" max="2" width="2.42578125" style="277" customWidth="1"/>
    <col min="3" max="3" width="2.28515625" style="277" customWidth="1"/>
    <col min="4" max="4" width="4.7109375" style="277" customWidth="1"/>
    <col min="5" max="5" width="36.5703125" style="278" customWidth="1"/>
    <col min="6" max="6" width="26.7109375" style="277" hidden="1" customWidth="1"/>
    <col min="7" max="7" width="1.28515625" style="279" hidden="1" customWidth="1"/>
    <col min="8" max="8" width="2.28515625" style="279" hidden="1" customWidth="1"/>
    <col min="9" max="9" width="10.5703125" style="279" hidden="1" customWidth="1"/>
    <col min="10" max="10" width="2.28515625" style="279" hidden="1" customWidth="1"/>
    <col min="11" max="11" width="12" style="279" hidden="1" customWidth="1"/>
    <col min="12" max="12" width="2.28515625" style="279" hidden="1" customWidth="1"/>
    <col min="13" max="13" width="10.28515625" style="279" hidden="1" customWidth="1"/>
    <col min="14" max="14" width="2.28515625" style="279" hidden="1" customWidth="1"/>
    <col min="15" max="15" width="9.28515625" style="279" hidden="1" customWidth="1"/>
    <col min="16" max="16" width="2.28515625" style="279" hidden="1" customWidth="1"/>
    <col min="17" max="17" width="9.28515625" style="279" hidden="1" customWidth="1"/>
    <col min="18" max="18" width="2.28515625" style="279" hidden="1" customWidth="1"/>
    <col min="19" max="19" width="12" style="279" hidden="1" customWidth="1"/>
    <col min="20" max="20" width="2.28515625" style="279" hidden="1" customWidth="1"/>
    <col min="21" max="21" width="10.28515625" style="279" hidden="1" customWidth="1"/>
    <col min="22" max="22" width="2.28515625" style="279" hidden="1" customWidth="1"/>
    <col min="23" max="23" width="10.140625" style="280" hidden="1" customWidth="1"/>
    <col min="24" max="24" width="1.28515625" style="280" hidden="1" customWidth="1"/>
    <col min="25" max="25" width="14.5703125" style="280" hidden="1" customWidth="1"/>
    <col min="26" max="26" width="2.28515625" style="280" hidden="1" customWidth="1"/>
    <col min="27" max="27" width="12" style="280" hidden="1" customWidth="1"/>
    <col min="28" max="28" width="6.7109375" style="280" hidden="1" customWidth="1"/>
    <col min="29" max="29" width="1" style="280" hidden="1" customWidth="1"/>
    <col min="30" max="30" width="1" style="281" hidden="1" customWidth="1"/>
    <col min="31" max="31" width="5.28515625" style="281" hidden="1" customWidth="1"/>
    <col min="32" max="32" width="12.140625" style="281" hidden="1" customWidth="1"/>
    <col min="33" max="33" width="3.7109375" style="281" hidden="1" customWidth="1"/>
    <col min="34" max="34" width="12.28515625" style="282" hidden="1" customWidth="1"/>
    <col min="35" max="35" width="0.5703125" style="282" hidden="1" customWidth="1"/>
    <col min="36" max="36" width="0.28515625" style="282" hidden="1" customWidth="1"/>
    <col min="37" max="37" width="2" style="282" hidden="1" customWidth="1"/>
    <col min="38" max="38" width="11.85546875" style="282" hidden="1" customWidth="1"/>
    <col min="39" max="39" width="1.140625" style="282" hidden="1" customWidth="1"/>
    <col min="40" max="40" width="12" style="282" hidden="1" customWidth="1"/>
    <col min="41" max="41" width="3.140625" style="282" hidden="1" customWidth="1"/>
    <col min="42" max="42" width="15.28515625" style="282" hidden="1" customWidth="1"/>
    <col min="43" max="43" width="0.85546875" style="282" hidden="1" customWidth="1"/>
    <col min="44" max="45" width="13.7109375" style="282" hidden="1" customWidth="1"/>
    <col min="46" max="46" width="0.7109375" style="282" hidden="1" customWidth="1"/>
    <col min="47" max="47" width="0.5703125" style="7" hidden="1" customWidth="1"/>
    <col min="48" max="48" width="12" style="282" hidden="1" customWidth="1"/>
    <col min="49" max="49" width="0.28515625" style="7" hidden="1" customWidth="1"/>
    <col min="50" max="50" width="1.5703125" style="283" hidden="1" customWidth="1"/>
    <col min="51" max="51" width="0.42578125" style="283" hidden="1" customWidth="1"/>
    <col min="52" max="52" width="11.7109375" style="282" hidden="1" customWidth="1"/>
    <col min="53" max="53" width="0.42578125" style="282" hidden="1" customWidth="1"/>
    <col min="54" max="54" width="1.28515625" style="282" hidden="1" customWidth="1"/>
    <col min="55" max="55" width="0.5703125" style="282" hidden="1" customWidth="1"/>
    <col min="56" max="56" width="12.140625" style="282" hidden="1" customWidth="1"/>
    <col min="57" max="57" width="3.42578125" style="282" hidden="1" customWidth="1"/>
    <col min="58" max="58" width="6.5703125" style="282" hidden="1" customWidth="1"/>
    <col min="59" max="59" width="7.28515625" style="282" hidden="1" customWidth="1"/>
    <col min="60" max="60" width="7.140625" style="282" hidden="1" customWidth="1"/>
    <col min="61" max="61" width="1.5703125" style="282" hidden="1" customWidth="1"/>
    <col min="62" max="62" width="5.7109375" style="282" hidden="1" customWidth="1"/>
    <col min="63" max="63" width="13.42578125" style="282" hidden="1" customWidth="1"/>
    <col min="64" max="64" width="0.42578125" style="282" hidden="1" customWidth="1"/>
    <col min="65" max="65" width="14" style="282" hidden="1" customWidth="1"/>
    <col min="66" max="66" width="2" style="282" hidden="1" customWidth="1"/>
    <col min="67" max="67" width="14" style="282" hidden="1" customWidth="1"/>
    <col min="68" max="68" width="2.28515625" style="282" hidden="1" customWidth="1"/>
    <col min="69" max="69" width="13.42578125" style="282" hidden="1" customWidth="1"/>
    <col min="70" max="70" width="0.42578125" style="282" hidden="1" customWidth="1"/>
    <col min="71" max="71" width="14" style="282" hidden="1" customWidth="1"/>
    <col min="72" max="72" width="2.140625" style="282" hidden="1" customWidth="1"/>
    <col min="73" max="73" width="13.42578125" style="282" hidden="1" customWidth="1"/>
    <col min="74" max="74" width="0.42578125" style="282" hidden="1" customWidth="1"/>
    <col min="75" max="76" width="14" style="282" hidden="1" customWidth="1"/>
    <col min="77" max="77" width="14" style="284" hidden="1" customWidth="1"/>
    <col min="78" max="78" width="13.42578125" style="282" hidden="1" customWidth="1"/>
    <col min="79" max="79" width="0.42578125" style="282" hidden="1" customWidth="1"/>
    <col min="80" max="80" width="13.42578125" style="282" hidden="1" customWidth="1"/>
    <col min="81" max="81" width="0.42578125" style="282" hidden="1" customWidth="1"/>
    <col min="82" max="82" width="13.42578125" style="282" hidden="1" customWidth="1"/>
    <col min="83" max="83" width="4.28515625" style="282" customWidth="1"/>
    <col min="84" max="84" width="16.42578125" style="282" customWidth="1"/>
    <col min="85" max="85" width="4.42578125" style="282" hidden="1" customWidth="1"/>
    <col min="86" max="86" width="13.42578125" style="37" hidden="1" customWidth="1"/>
    <col min="87" max="87" width="0.42578125" style="37" hidden="1" customWidth="1"/>
    <col min="88" max="88" width="1.5703125" style="38" hidden="1" customWidth="1"/>
    <col min="89" max="89" width="12.85546875" style="5" hidden="1" customWidth="1"/>
    <col min="90" max="16384" width="9.140625" style="5"/>
  </cols>
  <sheetData>
    <row r="1" spans="1:90" s="26" customFormat="1" ht="17.25" customHeight="1" thickBot="1" x14ac:dyDescent="0.25">
      <c r="A1" s="9"/>
      <c r="B1" s="357" t="s">
        <v>165</v>
      </c>
      <c r="C1" s="358"/>
      <c r="D1" s="358"/>
      <c r="E1" s="358"/>
      <c r="F1" s="358"/>
      <c r="G1" s="10" t="s">
        <v>0</v>
      </c>
      <c r="H1" s="11"/>
      <c r="I1" s="10" t="s">
        <v>1</v>
      </c>
      <c r="J1" s="11"/>
      <c r="K1" s="10" t="s">
        <v>2</v>
      </c>
      <c r="L1" s="11"/>
      <c r="M1" s="10" t="s">
        <v>3</v>
      </c>
      <c r="N1" s="11"/>
      <c r="O1" s="10" t="s">
        <v>4</v>
      </c>
      <c r="P1" s="11"/>
      <c r="Q1" s="10" t="s">
        <v>1</v>
      </c>
      <c r="R1" s="11"/>
      <c r="S1" s="10" t="s">
        <v>2</v>
      </c>
      <c r="T1" s="11"/>
      <c r="U1" s="10" t="s">
        <v>3</v>
      </c>
      <c r="V1" s="11"/>
      <c r="W1" s="12" t="s">
        <v>147</v>
      </c>
      <c r="X1" s="13"/>
      <c r="Y1" s="14" t="s">
        <v>148</v>
      </c>
      <c r="Z1" s="15"/>
      <c r="AA1" s="14" t="s">
        <v>2</v>
      </c>
      <c r="AB1" s="15"/>
      <c r="AC1" s="15"/>
      <c r="AD1" s="16" t="s">
        <v>153</v>
      </c>
      <c r="AE1" s="17"/>
      <c r="AF1" s="16" t="s">
        <v>171</v>
      </c>
      <c r="AG1" s="16"/>
      <c r="AH1" s="18" t="s">
        <v>154</v>
      </c>
      <c r="AI1" s="18"/>
      <c r="AJ1" s="18" t="s">
        <v>170</v>
      </c>
      <c r="AK1" s="18"/>
      <c r="AL1" s="19" t="s">
        <v>152</v>
      </c>
      <c r="AM1" s="20"/>
      <c r="AN1" s="18" t="s">
        <v>169</v>
      </c>
      <c r="AO1" s="18"/>
      <c r="AP1" s="18" t="s">
        <v>166</v>
      </c>
      <c r="AQ1" s="21"/>
      <c r="AR1" s="18" t="s">
        <v>151</v>
      </c>
      <c r="AS1" s="18"/>
      <c r="AT1" s="21"/>
      <c r="AU1" s="22"/>
      <c r="AV1" s="18" t="s">
        <v>168</v>
      </c>
      <c r="AW1" s="22"/>
      <c r="AX1" s="23" t="s">
        <v>200</v>
      </c>
      <c r="AY1" s="23"/>
      <c r="AZ1" s="18" t="s">
        <v>174</v>
      </c>
      <c r="BA1" s="18"/>
      <c r="BB1" s="18"/>
      <c r="BC1" s="18"/>
      <c r="BD1" s="18" t="s">
        <v>198</v>
      </c>
      <c r="BE1" s="18"/>
      <c r="BF1" s="18"/>
      <c r="BG1" s="18" t="s">
        <v>176</v>
      </c>
      <c r="BH1" s="18" t="s">
        <v>173</v>
      </c>
      <c r="BI1" s="18" t="s">
        <v>197</v>
      </c>
      <c r="BJ1" s="18"/>
      <c r="BK1" s="18" t="s">
        <v>196</v>
      </c>
      <c r="BL1" s="18" t="s">
        <v>173</v>
      </c>
      <c r="BM1" s="18" t="s">
        <v>199</v>
      </c>
      <c r="BN1" s="18"/>
      <c r="BO1" s="24" t="s">
        <v>203</v>
      </c>
      <c r="BP1" s="18"/>
      <c r="BQ1" s="18" t="s">
        <v>219</v>
      </c>
      <c r="BR1" s="18"/>
      <c r="BS1" s="18" t="s">
        <v>202</v>
      </c>
      <c r="BT1" s="18"/>
      <c r="BU1" s="18" t="s">
        <v>220</v>
      </c>
      <c r="BV1" s="18"/>
      <c r="BW1" s="18" t="s">
        <v>213</v>
      </c>
      <c r="BX1" s="18"/>
      <c r="BY1" s="25" t="s">
        <v>172</v>
      </c>
      <c r="BZ1" s="18" t="s">
        <v>234</v>
      </c>
      <c r="CA1" s="18"/>
      <c r="CB1" s="18" t="s">
        <v>227</v>
      </c>
      <c r="CC1" s="18"/>
      <c r="CD1" s="18" t="s">
        <v>235</v>
      </c>
      <c r="CE1" s="18"/>
      <c r="CF1" s="18" t="s">
        <v>236</v>
      </c>
      <c r="CG1" s="18"/>
      <c r="CH1" s="23" t="s">
        <v>232</v>
      </c>
      <c r="CI1" s="23"/>
      <c r="CJ1" s="291" t="s">
        <v>233</v>
      </c>
    </row>
    <row r="2" spans="1:90" ht="13.5" customHeight="1" x14ac:dyDescent="0.2">
      <c r="A2" s="4"/>
      <c r="B2" s="347" t="s">
        <v>164</v>
      </c>
      <c r="C2" s="348"/>
      <c r="D2" s="348"/>
      <c r="E2" s="348"/>
      <c r="F2" s="348"/>
      <c r="G2" s="30"/>
      <c r="H2" s="31"/>
      <c r="I2" s="30"/>
      <c r="J2" s="31"/>
      <c r="K2" s="30"/>
      <c r="L2" s="31"/>
      <c r="M2" s="32"/>
      <c r="N2" s="31"/>
      <c r="O2" s="30"/>
      <c r="P2" s="31"/>
      <c r="Q2" s="30"/>
      <c r="R2" s="31"/>
      <c r="S2" s="30"/>
      <c r="T2" s="31"/>
      <c r="U2" s="32"/>
      <c r="V2" s="31"/>
      <c r="W2" s="33"/>
      <c r="X2" s="33"/>
      <c r="Y2" s="33"/>
      <c r="Z2" s="33"/>
      <c r="AA2" s="33"/>
      <c r="AB2" s="33"/>
      <c r="AC2" s="33"/>
      <c r="AD2" s="34"/>
      <c r="AE2" s="34"/>
      <c r="AF2" s="39"/>
      <c r="AG2" s="40"/>
      <c r="AH2" s="41"/>
      <c r="AI2" s="41"/>
      <c r="AJ2" s="41"/>
      <c r="AK2" s="41"/>
      <c r="AL2" s="41"/>
      <c r="AM2" s="41"/>
      <c r="AN2" s="41"/>
      <c r="AO2" s="41"/>
      <c r="AP2" s="41"/>
      <c r="AQ2" s="41"/>
      <c r="AR2" s="41"/>
      <c r="AS2" s="41"/>
      <c r="AT2" s="41"/>
      <c r="AU2" s="42"/>
      <c r="AV2" s="43"/>
      <c r="AW2" s="44"/>
      <c r="AX2" s="45"/>
      <c r="AY2" s="45"/>
      <c r="AZ2" s="43"/>
      <c r="BA2" s="43"/>
      <c r="BB2" s="43"/>
      <c r="BC2" s="43"/>
      <c r="BD2" s="43"/>
      <c r="BE2" s="43"/>
      <c r="BF2" s="43"/>
      <c r="BG2" s="43"/>
      <c r="BH2" s="46"/>
      <c r="BI2" s="46"/>
      <c r="BJ2" s="46"/>
      <c r="BK2" s="43"/>
      <c r="BL2" s="46"/>
      <c r="BM2" s="46"/>
      <c r="BN2" s="46"/>
      <c r="BO2" s="46"/>
      <c r="BP2" s="46"/>
      <c r="BQ2" s="46"/>
      <c r="BR2" s="46"/>
      <c r="BS2" s="46"/>
      <c r="BT2" s="46"/>
      <c r="BU2" s="46"/>
      <c r="BV2" s="46"/>
      <c r="BW2" s="46"/>
      <c r="BX2" s="46"/>
      <c r="BY2" s="47"/>
      <c r="BZ2" s="46"/>
      <c r="CA2" s="46"/>
      <c r="CB2" s="46"/>
      <c r="CC2" s="35"/>
      <c r="CD2" s="35"/>
      <c r="CE2" s="35"/>
      <c r="CF2" s="46"/>
      <c r="CG2" s="35"/>
      <c r="CJ2" s="292"/>
    </row>
    <row r="3" spans="1:90" ht="16.5" customHeight="1" thickBot="1" x14ac:dyDescent="0.25">
      <c r="A3" s="4"/>
      <c r="B3" s="347" t="s">
        <v>229</v>
      </c>
      <c r="C3" s="348"/>
      <c r="D3" s="348"/>
      <c r="E3" s="348"/>
      <c r="F3" s="348"/>
      <c r="G3" s="30">
        <v>67481.98</v>
      </c>
      <c r="H3" s="31"/>
      <c r="I3" s="30">
        <v>84653.28</v>
      </c>
      <c r="J3" s="31"/>
      <c r="K3" s="30">
        <f>ROUND((G3-I3),5)</f>
        <v>-17171.3</v>
      </c>
      <c r="L3" s="31"/>
      <c r="M3" s="32">
        <f>ROUND(IF(I3=0, IF(G3=0, 0, 1), G3/I3),5)</f>
        <v>0.79715999999999998</v>
      </c>
      <c r="N3" s="31"/>
      <c r="O3" s="30">
        <v>68529.960000000006</v>
      </c>
      <c r="P3" s="31"/>
      <c r="Q3" s="30">
        <v>84653.31</v>
      </c>
      <c r="R3" s="31"/>
      <c r="S3" s="30">
        <f>ROUND((O3-Q3),5)</f>
        <v>-16123.35</v>
      </c>
      <c r="T3" s="31"/>
      <c r="U3" s="32">
        <f>ROUND(IF(Q3=0, IF(O3=0, 0, 1), O3/Q3),5)</f>
        <v>0.80954000000000004</v>
      </c>
      <c r="V3" s="31"/>
      <c r="W3" s="33">
        <v>68269.460000000006</v>
      </c>
      <c r="X3" s="33"/>
      <c r="Y3" s="33">
        <v>84653.31</v>
      </c>
      <c r="Z3" s="33"/>
      <c r="AA3" s="33">
        <f>ROUND((W3-Y3),5)</f>
        <v>-16383.85</v>
      </c>
      <c r="AB3" s="33"/>
      <c r="AC3" s="33"/>
      <c r="AD3" s="34">
        <v>868547.73</v>
      </c>
      <c r="AE3" s="48"/>
      <c r="AF3" s="49">
        <v>887638.84</v>
      </c>
      <c r="AG3" s="50"/>
      <c r="AH3" s="51">
        <v>918646.38</v>
      </c>
      <c r="AI3" s="51"/>
      <c r="AJ3" s="51">
        <v>822179.8</v>
      </c>
      <c r="AK3" s="51"/>
      <c r="AL3" s="51">
        <v>1015839.69</v>
      </c>
      <c r="AM3" s="51"/>
      <c r="AN3" s="51">
        <v>891940.86</v>
      </c>
      <c r="AO3" s="51"/>
      <c r="AP3" s="52">
        <v>443229.46</v>
      </c>
      <c r="AQ3" s="51"/>
      <c r="AR3" s="51">
        <v>507919.83</v>
      </c>
      <c r="AS3" s="51">
        <f>AP3*2</f>
        <v>886458.92</v>
      </c>
      <c r="AT3" s="51"/>
      <c r="AU3" s="53"/>
      <c r="AV3" s="54">
        <v>1069569.51</v>
      </c>
      <c r="AW3" s="55"/>
      <c r="AX3" s="56">
        <f>AN3-AL3</f>
        <v>-123898.82999999996</v>
      </c>
      <c r="AY3" s="56"/>
      <c r="AZ3" s="57">
        <v>493390.45</v>
      </c>
      <c r="BA3" s="54"/>
      <c r="BB3" s="54"/>
      <c r="BC3" s="54"/>
      <c r="BD3" s="54">
        <v>1015127.43</v>
      </c>
      <c r="BE3" s="54"/>
      <c r="BF3" s="54"/>
      <c r="BG3" s="54">
        <f>1142895.7+15243.21</f>
        <v>1158138.9099999999</v>
      </c>
      <c r="BH3" s="54"/>
      <c r="BI3" s="57">
        <v>1036247.24</v>
      </c>
      <c r="BJ3" s="54"/>
      <c r="BK3" s="54">
        <v>1044927.38</v>
      </c>
      <c r="BL3" s="54"/>
      <c r="BM3" s="58">
        <f>BK3-BG3</f>
        <v>-113211.52999999991</v>
      </c>
      <c r="BN3" s="58"/>
      <c r="BO3" s="57">
        <v>504963.69</v>
      </c>
      <c r="BP3" s="57"/>
      <c r="BQ3" s="57">
        <v>984843.59</v>
      </c>
      <c r="BR3" s="57"/>
      <c r="BS3" s="57">
        <f>BQ3-BK3</f>
        <v>-60083.790000000037</v>
      </c>
      <c r="BT3" s="58"/>
      <c r="BU3" s="54">
        <v>1095717.93</v>
      </c>
      <c r="BV3" s="58"/>
      <c r="BW3" s="58">
        <f>BU3-BK3</f>
        <v>50790.54999999993</v>
      </c>
      <c r="BX3" s="58"/>
      <c r="BY3" s="59" t="s">
        <v>241</v>
      </c>
      <c r="BZ3" s="57">
        <v>1046026.36</v>
      </c>
      <c r="CA3" s="57"/>
      <c r="CB3" s="54">
        <v>1169290.6000000001</v>
      </c>
      <c r="CC3" s="54"/>
      <c r="CD3" s="54">
        <v>948903.28</v>
      </c>
      <c r="CE3" s="54"/>
      <c r="CF3" s="54">
        <v>1150126.67</v>
      </c>
      <c r="CG3" s="60"/>
      <c r="CH3" s="61">
        <f>CF3-CB3</f>
        <v>-19163.930000000168</v>
      </c>
      <c r="CI3" s="200"/>
      <c r="CJ3" s="293" t="s">
        <v>315</v>
      </c>
      <c r="CK3" s="346">
        <f>CF3/12</f>
        <v>95843.88916666666</v>
      </c>
    </row>
    <row r="4" spans="1:90" ht="18.75" hidden="1" customHeight="1" x14ac:dyDescent="0.2">
      <c r="A4" s="4"/>
      <c r="B4" s="62"/>
      <c r="C4" s="63"/>
      <c r="D4" s="63"/>
      <c r="E4" s="64"/>
      <c r="F4" s="63"/>
      <c r="G4" s="30"/>
      <c r="H4" s="31"/>
      <c r="I4" s="30"/>
      <c r="J4" s="31"/>
      <c r="K4" s="30"/>
      <c r="L4" s="31"/>
      <c r="M4" s="32"/>
      <c r="N4" s="31"/>
      <c r="O4" s="30"/>
      <c r="P4" s="31"/>
      <c r="Q4" s="30"/>
      <c r="R4" s="31"/>
      <c r="S4" s="30"/>
      <c r="T4" s="31"/>
      <c r="U4" s="32"/>
      <c r="V4" s="31"/>
      <c r="W4" s="33"/>
      <c r="X4" s="33"/>
      <c r="Y4" s="33"/>
      <c r="Z4" s="33"/>
      <c r="AA4" s="33"/>
      <c r="AB4" s="33"/>
      <c r="AC4" s="33"/>
      <c r="AD4" s="34"/>
      <c r="AE4" s="34"/>
      <c r="AF4" s="49"/>
      <c r="AG4" s="50"/>
      <c r="AH4" s="51"/>
      <c r="AI4" s="51"/>
      <c r="AJ4" s="51"/>
      <c r="AK4" s="51"/>
      <c r="AL4" s="51"/>
      <c r="AM4" s="51"/>
      <c r="AN4" s="51"/>
      <c r="AO4" s="51"/>
      <c r="AP4" s="52"/>
      <c r="AQ4" s="51"/>
      <c r="AR4" s="51"/>
      <c r="AS4" s="51"/>
      <c r="AT4" s="51"/>
      <c r="AU4" s="65"/>
      <c r="AV4" s="54"/>
      <c r="AW4" s="55"/>
      <c r="AX4" s="56"/>
      <c r="AY4" s="56"/>
      <c r="AZ4" s="54"/>
      <c r="BA4" s="54"/>
      <c r="BB4" s="54"/>
      <c r="BC4" s="54"/>
      <c r="BD4" s="54"/>
      <c r="BE4" s="54"/>
      <c r="BF4" s="54"/>
      <c r="BG4" s="54"/>
      <c r="BH4" s="54"/>
      <c r="BI4" s="57"/>
      <c r="BJ4" s="54"/>
      <c r="BK4" s="54"/>
      <c r="BL4" s="54"/>
      <c r="BM4" s="58"/>
      <c r="BN4" s="58"/>
      <c r="BO4" s="66"/>
      <c r="BP4" s="66"/>
      <c r="BQ4" s="66"/>
      <c r="BR4" s="66"/>
      <c r="BS4" s="66"/>
      <c r="BT4" s="58"/>
      <c r="BU4" s="54"/>
      <c r="BV4" s="58"/>
      <c r="BW4" s="58"/>
      <c r="BX4" s="58"/>
      <c r="BY4" s="59"/>
      <c r="BZ4" s="66"/>
      <c r="CA4" s="66"/>
      <c r="CB4" s="54"/>
      <c r="CC4" s="54"/>
      <c r="CD4" s="54"/>
      <c r="CE4" s="54"/>
      <c r="CF4" s="54"/>
      <c r="CG4" s="60"/>
      <c r="CH4" s="61"/>
      <c r="CI4" s="200"/>
      <c r="CJ4" s="294"/>
    </row>
    <row r="5" spans="1:90" ht="16.5" hidden="1" customHeight="1" x14ac:dyDescent="0.2">
      <c r="A5" s="4"/>
      <c r="B5" s="27"/>
      <c r="C5" s="28" t="s">
        <v>6</v>
      </c>
      <c r="D5" s="28"/>
      <c r="E5" s="29"/>
      <c r="F5" s="28"/>
      <c r="G5" s="30">
        <v>1059.52</v>
      </c>
      <c r="H5" s="31"/>
      <c r="I5" s="30">
        <v>1250</v>
      </c>
      <c r="J5" s="31"/>
      <c r="K5" s="30">
        <f>ROUND((G5-I5),5)</f>
        <v>-190.48</v>
      </c>
      <c r="L5" s="31"/>
      <c r="M5" s="32">
        <f>ROUND(IF(I5=0, IF(G5=0, 0, 1), G5/I5),5)</f>
        <v>0.84762000000000004</v>
      </c>
      <c r="N5" s="31"/>
      <c r="O5" s="30">
        <v>1074.4100000000001</v>
      </c>
      <c r="P5" s="31"/>
      <c r="Q5" s="30">
        <v>1250</v>
      </c>
      <c r="R5" s="31"/>
      <c r="S5" s="30">
        <f>ROUND((O5-Q5),5)</f>
        <v>-175.59</v>
      </c>
      <c r="T5" s="31"/>
      <c r="U5" s="32">
        <f>ROUND(IF(Q5=0, IF(O5=0, 0, 1), O5/Q5),5)</f>
        <v>0.85953000000000002</v>
      </c>
      <c r="V5" s="31"/>
      <c r="W5" s="33">
        <v>1071.3800000000001</v>
      </c>
      <c r="X5" s="33"/>
      <c r="Y5" s="33">
        <v>1250</v>
      </c>
      <c r="Z5" s="33"/>
      <c r="AA5" s="33">
        <f>ROUND((W5-Y5),5)</f>
        <v>-178.62</v>
      </c>
      <c r="AB5" s="33"/>
      <c r="AC5" s="33"/>
      <c r="AD5" s="34">
        <v>13000</v>
      </c>
      <c r="AE5" s="34"/>
      <c r="AF5" s="49">
        <v>11370.8</v>
      </c>
      <c r="AG5" s="50"/>
      <c r="AH5" s="51">
        <v>3000</v>
      </c>
      <c r="AI5" s="51"/>
      <c r="AJ5" s="51">
        <v>13600.04</v>
      </c>
      <c r="AK5" s="51"/>
      <c r="AL5" s="51">
        <v>15000</v>
      </c>
      <c r="AM5" s="51"/>
      <c r="AN5" s="51">
        <v>16663.79</v>
      </c>
      <c r="AO5" s="51"/>
      <c r="AP5" s="52">
        <v>9631.59</v>
      </c>
      <c r="AQ5" s="51"/>
      <c r="AR5" s="51">
        <v>7500</v>
      </c>
      <c r="AS5" s="51">
        <f t="shared" ref="AS5:AS8" si="0">AP5*2</f>
        <v>19263.18</v>
      </c>
      <c r="AT5" s="51"/>
      <c r="AU5" s="65"/>
      <c r="AV5" s="54">
        <v>20000</v>
      </c>
      <c r="AW5" s="55"/>
      <c r="AX5" s="56">
        <f>AN5-AL5</f>
        <v>1663.7900000000009</v>
      </c>
      <c r="AY5" s="56"/>
      <c r="AZ5" s="57">
        <v>8294.92</v>
      </c>
      <c r="BA5" s="54"/>
      <c r="BB5" s="54"/>
      <c r="BC5" s="54"/>
      <c r="BD5" s="54">
        <f>AZ5*2</f>
        <v>16589.84</v>
      </c>
      <c r="BE5" s="54"/>
      <c r="BF5" s="54"/>
      <c r="BG5" s="54">
        <v>20000</v>
      </c>
      <c r="BH5" s="54"/>
      <c r="BI5" s="57">
        <v>18609.32</v>
      </c>
      <c r="BJ5" s="54"/>
      <c r="BK5" s="54">
        <v>20000</v>
      </c>
      <c r="BL5" s="54"/>
      <c r="BM5" s="58">
        <f>BK5-BG5</f>
        <v>0</v>
      </c>
      <c r="BN5" s="58"/>
      <c r="BO5" s="66">
        <v>9995.19</v>
      </c>
      <c r="BP5" s="66"/>
      <c r="BQ5" s="66"/>
      <c r="BR5" s="66"/>
      <c r="BS5" s="66">
        <f t="shared" ref="BS5:BS68" si="1">BQ5-BK5</f>
        <v>-20000</v>
      </c>
      <c r="BT5" s="58"/>
      <c r="BU5" s="54">
        <v>20000</v>
      </c>
      <c r="BV5" s="58"/>
      <c r="BW5" s="58">
        <f t="shared" ref="BW5:BW7" si="2">BU5-BK5</f>
        <v>0</v>
      </c>
      <c r="BX5" s="58"/>
      <c r="BY5" s="67" t="s">
        <v>204</v>
      </c>
      <c r="BZ5" s="66">
        <f>BX5*2</f>
        <v>0</v>
      </c>
      <c r="CA5" s="66"/>
      <c r="CB5" s="54">
        <v>20000</v>
      </c>
      <c r="CC5" s="54"/>
      <c r="CD5" s="54"/>
      <c r="CE5" s="54"/>
      <c r="CF5" s="54">
        <v>20000</v>
      </c>
      <c r="CG5" s="60"/>
      <c r="CH5" s="61"/>
      <c r="CI5" s="200"/>
      <c r="CJ5" s="294"/>
    </row>
    <row r="6" spans="1:90" ht="18.75" hidden="1" customHeight="1" x14ac:dyDescent="0.2">
      <c r="A6" s="4"/>
      <c r="B6" s="27"/>
      <c r="C6" s="28" t="s">
        <v>7</v>
      </c>
      <c r="D6" s="28"/>
      <c r="E6" s="29"/>
      <c r="F6" s="28"/>
      <c r="G6" s="30">
        <v>0</v>
      </c>
      <c r="H6" s="31"/>
      <c r="I6" s="30">
        <v>666.63</v>
      </c>
      <c r="J6" s="31"/>
      <c r="K6" s="30">
        <f>ROUND((G6-I6),5)</f>
        <v>-666.63</v>
      </c>
      <c r="L6" s="31"/>
      <c r="M6" s="32">
        <f>ROUND(IF(I6=0, IF(G6=0, 0, 1), G6/I6),5)</f>
        <v>0</v>
      </c>
      <c r="N6" s="31"/>
      <c r="O6" s="30">
        <v>0</v>
      </c>
      <c r="P6" s="31"/>
      <c r="Q6" s="30">
        <v>666.67</v>
      </c>
      <c r="R6" s="31"/>
      <c r="S6" s="30">
        <f>ROUND((O6-Q6),5)</f>
        <v>-666.67</v>
      </c>
      <c r="T6" s="31"/>
      <c r="U6" s="32">
        <f>ROUND(IF(Q6=0, IF(O6=0, 0, 1), O6/Q6),5)</f>
        <v>0</v>
      </c>
      <c r="V6" s="31"/>
      <c r="W6" s="33">
        <v>0</v>
      </c>
      <c r="X6" s="33"/>
      <c r="Y6" s="33">
        <v>666.67</v>
      </c>
      <c r="Z6" s="33"/>
      <c r="AA6" s="33">
        <f>ROUND((W6-Y6),5)</f>
        <v>-666.67</v>
      </c>
      <c r="AB6" s="33"/>
      <c r="AC6" s="33"/>
      <c r="AD6" s="34">
        <v>500</v>
      </c>
      <c r="AE6" s="34"/>
      <c r="AF6" s="49">
        <v>308.61</v>
      </c>
      <c r="AG6" s="50"/>
      <c r="AH6" s="51">
        <v>10000</v>
      </c>
      <c r="AI6" s="51"/>
      <c r="AJ6" s="51">
        <v>8015.64</v>
      </c>
      <c r="AK6" s="51"/>
      <c r="AL6" s="51">
        <v>8000</v>
      </c>
      <c r="AM6" s="51"/>
      <c r="AN6" s="51">
        <v>0</v>
      </c>
      <c r="AO6" s="51"/>
      <c r="AP6" s="52">
        <v>0</v>
      </c>
      <c r="AQ6" s="51"/>
      <c r="AR6" s="51">
        <v>3999.98</v>
      </c>
      <c r="AS6" s="51">
        <f t="shared" si="0"/>
        <v>0</v>
      </c>
      <c r="AT6" s="51"/>
      <c r="AU6" s="65"/>
      <c r="AV6" s="54">
        <v>0</v>
      </c>
      <c r="AW6" s="55"/>
      <c r="AX6" s="56">
        <f>AN6-AL6</f>
        <v>-8000</v>
      </c>
      <c r="AY6" s="56"/>
      <c r="AZ6" s="54"/>
      <c r="BA6" s="54"/>
      <c r="BB6" s="54"/>
      <c r="BC6" s="54"/>
      <c r="BD6" s="54"/>
      <c r="BE6" s="54"/>
      <c r="BF6" s="54"/>
      <c r="BG6" s="54">
        <v>0</v>
      </c>
      <c r="BH6" s="54"/>
      <c r="BI6" s="54"/>
      <c r="BJ6" s="54"/>
      <c r="BK6" s="54">
        <v>0</v>
      </c>
      <c r="BL6" s="54"/>
      <c r="BM6" s="58">
        <v>0</v>
      </c>
      <c r="BN6" s="58"/>
      <c r="BO6" s="66">
        <v>0</v>
      </c>
      <c r="BP6" s="66"/>
      <c r="BQ6" s="66">
        <f t="shared" ref="BQ6:BQ7" si="3">BO6*2</f>
        <v>0</v>
      </c>
      <c r="BR6" s="66"/>
      <c r="BS6" s="66">
        <f t="shared" si="1"/>
        <v>0</v>
      </c>
      <c r="BT6" s="58"/>
      <c r="BU6" s="54">
        <v>0</v>
      </c>
      <c r="BV6" s="58"/>
      <c r="BW6" s="58">
        <f t="shared" si="2"/>
        <v>0</v>
      </c>
      <c r="BX6" s="58"/>
      <c r="BY6" s="59"/>
      <c r="BZ6" s="66">
        <f>BX6*2</f>
        <v>0</v>
      </c>
      <c r="CA6" s="66"/>
      <c r="CB6" s="54">
        <v>0</v>
      </c>
      <c r="CC6" s="54"/>
      <c r="CD6" s="54"/>
      <c r="CE6" s="54"/>
      <c r="CF6" s="54">
        <v>0</v>
      </c>
      <c r="CG6" s="60"/>
      <c r="CH6" s="61"/>
      <c r="CI6" s="200"/>
      <c r="CJ6" s="294"/>
    </row>
    <row r="7" spans="1:90" ht="18.75" hidden="1" customHeight="1" thickBot="1" x14ac:dyDescent="0.25">
      <c r="A7" s="4"/>
      <c r="B7" s="27"/>
      <c r="C7" s="28" t="s">
        <v>8</v>
      </c>
      <c r="D7" s="28"/>
      <c r="E7" s="29"/>
      <c r="F7" s="28"/>
      <c r="G7" s="68">
        <v>1866.26</v>
      </c>
      <c r="H7" s="31"/>
      <c r="I7" s="68">
        <v>725</v>
      </c>
      <c r="J7" s="31"/>
      <c r="K7" s="68">
        <f>ROUND((G7-I7),5)</f>
        <v>1141.26</v>
      </c>
      <c r="L7" s="31"/>
      <c r="M7" s="69">
        <f>ROUND(IF(I7=0, IF(G7=0, 0, 1), G7/I7),5)</f>
        <v>2.5741499999999999</v>
      </c>
      <c r="N7" s="31"/>
      <c r="O7" s="68">
        <v>1467.38</v>
      </c>
      <c r="P7" s="31"/>
      <c r="Q7" s="68">
        <v>725</v>
      </c>
      <c r="R7" s="31"/>
      <c r="S7" s="68">
        <f>ROUND((O7-Q7),5)</f>
        <v>742.38</v>
      </c>
      <c r="T7" s="31"/>
      <c r="U7" s="69">
        <f>ROUND(IF(Q7=0, IF(O7=0, 0, 1), O7/Q7),5)</f>
        <v>2.0239699999999998</v>
      </c>
      <c r="V7" s="31"/>
      <c r="W7" s="70">
        <v>809.31</v>
      </c>
      <c r="X7" s="33"/>
      <c r="Y7" s="70">
        <v>725</v>
      </c>
      <c r="Z7" s="33"/>
      <c r="AA7" s="70">
        <f>ROUND((W7-Y7),5)</f>
        <v>84.31</v>
      </c>
      <c r="AB7" s="33"/>
      <c r="AC7" s="33"/>
      <c r="AD7" s="34">
        <v>3800</v>
      </c>
      <c r="AE7" s="34"/>
      <c r="AF7" s="71">
        <v>3831.52</v>
      </c>
      <c r="AG7" s="72"/>
      <c r="AH7" s="73">
        <v>7000</v>
      </c>
      <c r="AI7" s="73"/>
      <c r="AJ7" s="73">
        <v>4754.25</v>
      </c>
      <c r="AK7" s="73"/>
      <c r="AL7" s="73">
        <v>8700</v>
      </c>
      <c r="AM7" s="73"/>
      <c r="AN7" s="73">
        <v>5582.84</v>
      </c>
      <c r="AO7" s="73"/>
      <c r="AP7" s="74">
        <v>5288.94</v>
      </c>
      <c r="AQ7" s="73"/>
      <c r="AR7" s="73">
        <v>4350</v>
      </c>
      <c r="AS7" s="73">
        <f t="shared" si="0"/>
        <v>10577.88</v>
      </c>
      <c r="AT7" s="73"/>
      <c r="AU7" s="75"/>
      <c r="AV7" s="54">
        <v>10000</v>
      </c>
      <c r="AW7" s="55"/>
      <c r="AX7" s="56">
        <f>AN7-AL7</f>
        <v>-3117.16</v>
      </c>
      <c r="AY7" s="56"/>
      <c r="AZ7" s="57">
        <v>4019.74</v>
      </c>
      <c r="BA7" s="54"/>
      <c r="BB7" s="54"/>
      <c r="BC7" s="54"/>
      <c r="BD7" s="54">
        <v>4921.1099999999997</v>
      </c>
      <c r="BE7" s="54"/>
      <c r="BF7" s="54"/>
      <c r="BG7" s="54">
        <v>11000</v>
      </c>
      <c r="BH7" s="54"/>
      <c r="BI7" s="57">
        <v>3867.9</v>
      </c>
      <c r="BJ7" s="54"/>
      <c r="BK7" s="54">
        <v>11000</v>
      </c>
      <c r="BL7" s="54"/>
      <c r="BM7" s="58">
        <f>BK7-BG7</f>
        <v>0</v>
      </c>
      <c r="BN7" s="58"/>
      <c r="BO7" s="54">
        <v>0</v>
      </c>
      <c r="BP7" s="54"/>
      <c r="BQ7" s="66">
        <f t="shared" si="3"/>
        <v>0</v>
      </c>
      <c r="BR7" s="66"/>
      <c r="BS7" s="66">
        <f t="shared" si="1"/>
        <v>-11000</v>
      </c>
      <c r="BT7" s="58"/>
      <c r="BU7" s="54">
        <v>6000</v>
      </c>
      <c r="BV7" s="58"/>
      <c r="BW7" s="58">
        <f t="shared" si="2"/>
        <v>-5000</v>
      </c>
      <c r="BX7" s="58"/>
      <c r="BY7" s="59" t="s">
        <v>242</v>
      </c>
      <c r="BZ7" s="66">
        <f>BX7*2</f>
        <v>0</v>
      </c>
      <c r="CA7" s="66"/>
      <c r="CB7" s="54">
        <v>6000</v>
      </c>
      <c r="CC7" s="54"/>
      <c r="CD7" s="54"/>
      <c r="CE7" s="54"/>
      <c r="CF7" s="54">
        <v>6000</v>
      </c>
      <c r="CG7" s="60"/>
      <c r="CH7" s="61"/>
      <c r="CI7" s="200"/>
      <c r="CJ7" s="294"/>
    </row>
    <row r="8" spans="1:90" ht="13.5" customHeight="1" thickBot="1" x14ac:dyDescent="0.25">
      <c r="A8" s="4"/>
      <c r="B8" s="347" t="s">
        <v>5</v>
      </c>
      <c r="C8" s="348"/>
      <c r="D8" s="348"/>
      <c r="E8" s="348"/>
      <c r="F8" s="348"/>
      <c r="G8" s="30">
        <f>ROUND(SUM(G4:G7),5)</f>
        <v>2925.78</v>
      </c>
      <c r="H8" s="31"/>
      <c r="I8" s="30">
        <f>ROUND(SUM(I4:I7),5)</f>
        <v>2641.63</v>
      </c>
      <c r="J8" s="31"/>
      <c r="K8" s="30">
        <f>ROUND((G8-I8),5)</f>
        <v>284.14999999999998</v>
      </c>
      <c r="L8" s="31"/>
      <c r="M8" s="32">
        <f>ROUND(IF(I8=0, IF(G8=0, 0, 1), G8/I8),5)</f>
        <v>1.1075699999999999</v>
      </c>
      <c r="N8" s="31"/>
      <c r="O8" s="30">
        <f>ROUND(SUM(O4:O7),5)</f>
        <v>2541.79</v>
      </c>
      <c r="P8" s="31"/>
      <c r="Q8" s="30">
        <f>ROUND(SUM(Q4:Q7),5)</f>
        <v>2641.67</v>
      </c>
      <c r="R8" s="31"/>
      <c r="S8" s="30">
        <f>ROUND((O8-Q8),5)</f>
        <v>-99.88</v>
      </c>
      <c r="T8" s="31"/>
      <c r="U8" s="32">
        <f>ROUND(IF(Q8=0, IF(O8=0, 0, 1), O8/Q8),5)</f>
        <v>0.96218999999999999</v>
      </c>
      <c r="V8" s="31"/>
      <c r="W8" s="33">
        <f>SUM(W5:W7)</f>
        <v>1880.69</v>
      </c>
      <c r="X8" s="33"/>
      <c r="Y8" s="33">
        <f>SUM(Y5:Y7)</f>
        <v>2641.67</v>
      </c>
      <c r="Z8" s="33"/>
      <c r="AA8" s="33">
        <f>ROUND((W8-Y8),5)</f>
        <v>-760.98</v>
      </c>
      <c r="AB8" s="33"/>
      <c r="AC8" s="76"/>
      <c r="AD8" s="77">
        <f>SUM(AD5:AD7)</f>
        <v>17300</v>
      </c>
      <c r="AE8" s="77"/>
      <c r="AF8" s="39">
        <f>SUM(AF5:AF7)</f>
        <v>15510.93</v>
      </c>
      <c r="AG8" s="40"/>
      <c r="AH8" s="41">
        <f>SUM(AH5:AH7)</f>
        <v>20000</v>
      </c>
      <c r="AI8" s="41"/>
      <c r="AJ8" s="41">
        <v>26369.93</v>
      </c>
      <c r="AK8" s="41"/>
      <c r="AL8" s="41">
        <f>SUM(AL5:AL7)</f>
        <v>31700</v>
      </c>
      <c r="AM8" s="41"/>
      <c r="AN8" s="41">
        <f>SUM(AN5:AN7)</f>
        <v>22246.63</v>
      </c>
      <c r="AO8" s="41"/>
      <c r="AP8" s="78">
        <v>14920.53</v>
      </c>
      <c r="AQ8" s="41"/>
      <c r="AR8" s="41">
        <f>SUM(AR5:AR7)</f>
        <v>15849.98</v>
      </c>
      <c r="AS8" s="41">
        <f t="shared" si="0"/>
        <v>29841.06</v>
      </c>
      <c r="AT8" s="41"/>
      <c r="AU8" s="42"/>
      <c r="AV8" s="54">
        <f>SUM(AV5:AV7)</f>
        <v>30000</v>
      </c>
      <c r="AW8" s="55"/>
      <c r="AX8" s="56">
        <f>AN8-AL8</f>
        <v>-9453.369999999999</v>
      </c>
      <c r="AY8" s="56"/>
      <c r="AZ8" s="57">
        <v>12314.66</v>
      </c>
      <c r="BA8" s="54"/>
      <c r="BB8" s="54"/>
      <c r="BC8" s="54"/>
      <c r="BD8" s="54">
        <f>SUM(BD5:BD7)</f>
        <v>21510.95</v>
      </c>
      <c r="BE8" s="54"/>
      <c r="BF8" s="54"/>
      <c r="BG8" s="54">
        <f>SUM(BG5:BG7)</f>
        <v>31000</v>
      </c>
      <c r="BH8" s="54"/>
      <c r="BI8" s="54">
        <f>SUM(BI5:BI7)</f>
        <v>22477.22</v>
      </c>
      <c r="BJ8" s="54"/>
      <c r="BK8" s="54">
        <v>19990.419999999998</v>
      </c>
      <c r="BL8" s="54"/>
      <c r="BM8" s="58"/>
      <c r="BN8" s="58"/>
      <c r="BO8" s="66">
        <v>9995.19</v>
      </c>
      <c r="BP8" s="66"/>
      <c r="BQ8" s="66">
        <v>20740.189999999999</v>
      </c>
      <c r="BR8" s="66"/>
      <c r="BS8" s="66">
        <f t="shared" si="1"/>
        <v>749.77000000000044</v>
      </c>
      <c r="BT8" s="58"/>
      <c r="BU8" s="54">
        <f>SUM(BU5:BU7)</f>
        <v>26000</v>
      </c>
      <c r="BV8" s="58"/>
      <c r="BW8" s="58"/>
      <c r="BX8" s="58"/>
      <c r="BY8" s="59"/>
      <c r="BZ8" s="66">
        <v>21775.439999999999</v>
      </c>
      <c r="CA8" s="66"/>
      <c r="CB8" s="54">
        <v>22000</v>
      </c>
      <c r="CC8" s="54"/>
      <c r="CD8" s="54">
        <v>30076.7</v>
      </c>
      <c r="CE8" s="54"/>
      <c r="CF8" s="54">
        <v>22000</v>
      </c>
      <c r="CG8" s="60"/>
      <c r="CH8" s="61">
        <f t="shared" ref="CH8:CH71" si="4">CF8-CB8</f>
        <v>0</v>
      </c>
      <c r="CI8" s="200"/>
      <c r="CJ8" s="295" t="s">
        <v>204</v>
      </c>
      <c r="CK8" s="346">
        <f t="shared" ref="CK8:CK71" si="5">CF8/12</f>
        <v>1833.3333333333333</v>
      </c>
    </row>
    <row r="9" spans="1:90" ht="13.5" hidden="1" customHeight="1" x14ac:dyDescent="0.2">
      <c r="A9" s="4"/>
      <c r="B9" s="62"/>
      <c r="C9" s="63"/>
      <c r="D9" s="63"/>
      <c r="E9" s="64"/>
      <c r="F9" s="63"/>
      <c r="G9" s="30"/>
      <c r="H9" s="31"/>
      <c r="I9" s="30"/>
      <c r="J9" s="31"/>
      <c r="K9" s="30"/>
      <c r="L9" s="31"/>
      <c r="M9" s="32"/>
      <c r="N9" s="31"/>
      <c r="O9" s="30"/>
      <c r="P9" s="31"/>
      <c r="Q9" s="30"/>
      <c r="R9" s="31"/>
      <c r="S9" s="30"/>
      <c r="T9" s="31"/>
      <c r="U9" s="32"/>
      <c r="V9" s="31"/>
      <c r="W9" s="33"/>
      <c r="X9" s="33"/>
      <c r="Y9" s="33"/>
      <c r="Z9" s="33"/>
      <c r="AA9" s="33"/>
      <c r="AB9" s="33"/>
      <c r="AC9" s="33"/>
      <c r="AD9" s="34"/>
      <c r="AE9" s="34"/>
      <c r="AF9" s="49"/>
      <c r="AG9" s="50"/>
      <c r="AH9" s="51"/>
      <c r="AI9" s="51"/>
      <c r="AJ9" s="51"/>
      <c r="AK9" s="51"/>
      <c r="AL9" s="51"/>
      <c r="AM9" s="51"/>
      <c r="AN9" s="51"/>
      <c r="AO9" s="51"/>
      <c r="AP9" s="51"/>
      <c r="AQ9" s="51"/>
      <c r="AR9" s="51"/>
      <c r="AS9" s="51"/>
      <c r="AT9" s="51"/>
      <c r="AU9" s="65"/>
      <c r="AV9" s="79"/>
      <c r="AW9" s="80"/>
      <c r="AX9" s="81"/>
      <c r="AY9" s="81"/>
      <c r="AZ9" s="79"/>
      <c r="BA9" s="79"/>
      <c r="BB9" s="82"/>
      <c r="BC9" s="83"/>
      <c r="BD9" s="79"/>
      <c r="BE9" s="79"/>
      <c r="BF9" s="79"/>
      <c r="BG9" s="79"/>
      <c r="BH9" s="79"/>
      <c r="BI9" s="79"/>
      <c r="BJ9" s="79"/>
      <c r="BK9" s="79"/>
      <c r="BL9" s="79"/>
      <c r="BM9" s="84"/>
      <c r="BN9" s="84"/>
      <c r="BO9" s="79"/>
      <c r="BP9" s="79"/>
      <c r="BQ9" s="79"/>
      <c r="BR9" s="79"/>
      <c r="BS9" s="85"/>
      <c r="BT9" s="84"/>
      <c r="BU9" s="79"/>
      <c r="BV9" s="84"/>
      <c r="BW9" s="84"/>
      <c r="BX9" s="84"/>
      <c r="BY9" s="86"/>
      <c r="BZ9" s="79"/>
      <c r="CA9" s="79"/>
      <c r="CB9" s="79"/>
      <c r="CC9" s="79"/>
      <c r="CD9" s="79"/>
      <c r="CE9" s="79"/>
      <c r="CF9" s="79"/>
      <c r="CG9" s="83"/>
      <c r="CH9" s="61">
        <f t="shared" si="4"/>
        <v>0</v>
      </c>
      <c r="CI9" s="88"/>
      <c r="CJ9" s="296"/>
      <c r="CK9" s="346">
        <f t="shared" si="5"/>
        <v>0</v>
      </c>
    </row>
    <row r="10" spans="1:90" ht="12.75" customHeight="1" x14ac:dyDescent="0.2">
      <c r="A10" s="4"/>
      <c r="B10" s="27"/>
      <c r="C10" s="28" t="s">
        <v>10</v>
      </c>
      <c r="D10" s="28"/>
      <c r="E10" s="29"/>
      <c r="F10" s="28"/>
      <c r="G10" s="30">
        <v>0</v>
      </c>
      <c r="H10" s="31"/>
      <c r="I10" s="30">
        <v>4583.37</v>
      </c>
      <c r="J10" s="31"/>
      <c r="K10" s="30">
        <f>ROUND((G10-I10),5)</f>
        <v>-4583.37</v>
      </c>
      <c r="L10" s="31"/>
      <c r="M10" s="32">
        <f>ROUND(IF(I10=0, IF(G10=0, 0, 1), G10/I10),5)</f>
        <v>0</v>
      </c>
      <c r="N10" s="31"/>
      <c r="O10" s="30">
        <v>3840.51</v>
      </c>
      <c r="P10" s="31"/>
      <c r="Q10" s="30">
        <v>4583.33</v>
      </c>
      <c r="R10" s="31"/>
      <c r="S10" s="30">
        <f>ROUND((O10-Q10),5)</f>
        <v>-742.82</v>
      </c>
      <c r="T10" s="31"/>
      <c r="U10" s="32">
        <f>ROUND(IF(Q10=0, IF(O10=0, 0, 1), O10/Q10),5)</f>
        <v>0.83792999999999995</v>
      </c>
      <c r="V10" s="31"/>
      <c r="W10" s="33">
        <v>3835.18</v>
      </c>
      <c r="X10" s="33"/>
      <c r="Y10" s="33">
        <v>4583.33</v>
      </c>
      <c r="Z10" s="33"/>
      <c r="AA10" s="33">
        <f>ROUND((W10-Y10),5)</f>
        <v>-748.15</v>
      </c>
      <c r="AB10" s="33"/>
      <c r="AC10" s="33"/>
      <c r="AD10" s="34">
        <v>65000</v>
      </c>
      <c r="AE10" s="34"/>
      <c r="AF10" s="49">
        <v>59848.39</v>
      </c>
      <c r="AG10" s="50"/>
      <c r="AH10" s="51">
        <v>65000</v>
      </c>
      <c r="AI10" s="51"/>
      <c r="AJ10" s="51">
        <v>52846.91</v>
      </c>
      <c r="AK10" s="51"/>
      <c r="AL10" s="51">
        <v>55000</v>
      </c>
      <c r="AM10" s="51"/>
      <c r="AN10" s="51">
        <v>47219.14</v>
      </c>
      <c r="AO10" s="51"/>
      <c r="AP10" s="52">
        <v>21021.91</v>
      </c>
      <c r="AQ10" s="51"/>
      <c r="AR10" s="51">
        <v>27500.02</v>
      </c>
      <c r="AS10" s="51">
        <f t="shared" ref="AS10:AS13" si="6">AP10*2</f>
        <v>42043.82</v>
      </c>
      <c r="AT10" s="51"/>
      <c r="AU10" s="87"/>
      <c r="AV10" s="54">
        <v>55000</v>
      </c>
      <c r="AW10" s="55"/>
      <c r="AX10" s="56">
        <f>AN10-AL10</f>
        <v>-7780.8600000000006</v>
      </c>
      <c r="AY10" s="88"/>
      <c r="AZ10" s="89">
        <v>27450.080000000002</v>
      </c>
      <c r="BA10" s="54"/>
      <c r="BB10" s="82"/>
      <c r="BC10" s="60"/>
      <c r="BD10" s="54">
        <f t="shared" ref="BD10:BD85" si="7">AZ10*2</f>
        <v>54900.160000000003</v>
      </c>
      <c r="BE10" s="54"/>
      <c r="BF10" s="54"/>
      <c r="BG10" s="54">
        <v>46000</v>
      </c>
      <c r="BH10" s="54"/>
      <c r="BI10" s="57">
        <v>70444.58</v>
      </c>
      <c r="BJ10" s="54"/>
      <c r="BK10" s="54">
        <v>46000</v>
      </c>
      <c r="BL10" s="54"/>
      <c r="BM10" s="58">
        <f>BK10-BG10</f>
        <v>0</v>
      </c>
      <c r="BN10" s="58"/>
      <c r="BO10" s="66">
        <v>25340.09</v>
      </c>
      <c r="BP10" s="66"/>
      <c r="BQ10" s="66">
        <f t="shared" ref="BQ10:BQ73" si="8">BO10*2</f>
        <v>50680.18</v>
      </c>
      <c r="BR10" s="66"/>
      <c r="BS10" s="66">
        <f t="shared" si="1"/>
        <v>4680.18</v>
      </c>
      <c r="BT10" s="58"/>
      <c r="BU10" s="54">
        <v>49000</v>
      </c>
      <c r="BV10" s="58"/>
      <c r="BW10" s="58">
        <f>BU10-BK10</f>
        <v>3000</v>
      </c>
      <c r="BX10" s="58"/>
      <c r="BY10" s="90" t="s">
        <v>243</v>
      </c>
      <c r="BZ10" s="66">
        <f>BX10*2</f>
        <v>0</v>
      </c>
      <c r="CA10" s="66"/>
      <c r="CB10" s="54">
        <v>50868.19</v>
      </c>
      <c r="CC10" s="54"/>
      <c r="CD10" s="54">
        <f>27445.45*2</f>
        <v>54890.9</v>
      </c>
      <c r="CE10" s="54"/>
      <c r="CF10" s="54">
        <v>51212.04</v>
      </c>
      <c r="CG10" s="60"/>
      <c r="CH10" s="61">
        <f t="shared" si="4"/>
        <v>343.84999999999854</v>
      </c>
      <c r="CI10" s="88"/>
      <c r="CJ10" s="296" t="s">
        <v>244</v>
      </c>
      <c r="CK10" s="346">
        <f t="shared" si="5"/>
        <v>4267.67</v>
      </c>
    </row>
    <row r="11" spans="1:90" ht="13.5" customHeight="1" x14ac:dyDescent="0.2">
      <c r="A11" s="4"/>
      <c r="B11" s="27"/>
      <c r="C11" s="28" t="s">
        <v>11</v>
      </c>
      <c r="D11" s="28"/>
      <c r="E11" s="29"/>
      <c r="F11" s="28"/>
      <c r="G11" s="30">
        <v>36526.14</v>
      </c>
      <c r="H11" s="31"/>
      <c r="I11" s="30">
        <v>10614.21</v>
      </c>
      <c r="J11" s="31"/>
      <c r="K11" s="30">
        <f>ROUND((G11-I11),5)</f>
        <v>25911.93</v>
      </c>
      <c r="L11" s="31"/>
      <c r="M11" s="32">
        <f>ROUND(IF(I11=0, IF(G11=0, 0, 1), G11/I11),5)</f>
        <v>3.4412500000000001</v>
      </c>
      <c r="N11" s="31"/>
      <c r="O11" s="30">
        <v>9175.4699999999993</v>
      </c>
      <c r="P11" s="31"/>
      <c r="Q11" s="30">
        <v>10614.18</v>
      </c>
      <c r="R11" s="31"/>
      <c r="S11" s="30">
        <f>ROUND((O11-Q11),5)</f>
        <v>-1438.71</v>
      </c>
      <c r="T11" s="31"/>
      <c r="U11" s="32">
        <f>ROUND(IF(Q11=0, IF(O11=0, 0, 1), O11/Q11),5)</f>
        <v>0.86445000000000005</v>
      </c>
      <c r="V11" s="31"/>
      <c r="W11" s="33">
        <v>10594.09</v>
      </c>
      <c r="X11" s="33"/>
      <c r="Y11" s="33">
        <v>10614.18</v>
      </c>
      <c r="Z11" s="33"/>
      <c r="AA11" s="33">
        <f>ROUND((W11-Y11),5)</f>
        <v>-20.09</v>
      </c>
      <c r="AB11" s="33"/>
      <c r="AC11" s="33"/>
      <c r="AD11" s="34">
        <v>188812.06</v>
      </c>
      <c r="AE11" s="34"/>
      <c r="AF11" s="49">
        <v>189718.69</v>
      </c>
      <c r="AG11" s="50"/>
      <c r="AH11" s="51">
        <v>184000</v>
      </c>
      <c r="AI11" s="51"/>
      <c r="AJ11" s="51">
        <v>118300.93</v>
      </c>
      <c r="AK11" s="51"/>
      <c r="AL11" s="51">
        <v>127370.19</v>
      </c>
      <c r="AM11" s="51"/>
      <c r="AN11" s="51">
        <v>101770.04</v>
      </c>
      <c r="AO11" s="51"/>
      <c r="AP11" s="52">
        <v>42047.72</v>
      </c>
      <c r="AQ11" s="51"/>
      <c r="AR11" s="51">
        <v>63685.11</v>
      </c>
      <c r="AS11" s="51">
        <f t="shared" si="6"/>
        <v>84095.44</v>
      </c>
      <c r="AT11" s="51"/>
      <c r="AU11" s="87"/>
      <c r="AV11" s="54">
        <v>134944.06</v>
      </c>
      <c r="AW11" s="55"/>
      <c r="AX11" s="56">
        <f>AN11-AL11</f>
        <v>-25600.150000000009</v>
      </c>
      <c r="AY11" s="88"/>
      <c r="AZ11" s="89">
        <v>67082.48</v>
      </c>
      <c r="BA11" s="54"/>
      <c r="BB11" s="82"/>
      <c r="BC11" s="60"/>
      <c r="BD11" s="54">
        <f t="shared" si="7"/>
        <v>134164.96</v>
      </c>
      <c r="BE11" s="54"/>
      <c r="BF11" s="54"/>
      <c r="BG11" s="54">
        <v>200000</v>
      </c>
      <c r="BH11" s="54"/>
      <c r="BI11" s="57">
        <v>202330.72</v>
      </c>
      <c r="BJ11" s="54"/>
      <c r="BK11" s="54">
        <v>197000</v>
      </c>
      <c r="BL11" s="54"/>
      <c r="BM11" s="58">
        <f>BK11-BG11</f>
        <v>-3000</v>
      </c>
      <c r="BN11" s="58"/>
      <c r="BO11" s="66">
        <v>95427.6</v>
      </c>
      <c r="BP11" s="66"/>
      <c r="BQ11" s="66">
        <f t="shared" si="8"/>
        <v>190855.2</v>
      </c>
      <c r="BR11" s="66"/>
      <c r="BS11" s="66">
        <f t="shared" si="1"/>
        <v>-6144.7999999999884</v>
      </c>
      <c r="BT11" s="58"/>
      <c r="BU11" s="54">
        <v>199000</v>
      </c>
      <c r="BV11" s="58"/>
      <c r="BW11" s="58">
        <f t="shared" ref="BW11:BW14" si="9">BU11-BK11</f>
        <v>2000</v>
      </c>
      <c r="BX11" s="58"/>
      <c r="BY11" s="91" t="s">
        <v>245</v>
      </c>
      <c r="BZ11" s="66">
        <f>BX11*2</f>
        <v>0</v>
      </c>
      <c r="CA11" s="66"/>
      <c r="CB11" s="54">
        <v>248126.07999999999</v>
      </c>
      <c r="CC11" s="54"/>
      <c r="CD11" s="54">
        <f>59676.46*2</f>
        <v>119352.92</v>
      </c>
      <c r="CE11" s="54"/>
      <c r="CF11" s="54">
        <v>196388.64</v>
      </c>
      <c r="CG11" s="60"/>
      <c r="CH11" s="61">
        <f t="shared" si="4"/>
        <v>-51737.439999999973</v>
      </c>
      <c r="CI11" s="88"/>
      <c r="CJ11" s="292"/>
      <c r="CK11" s="346">
        <f t="shared" si="5"/>
        <v>16365.720000000001</v>
      </c>
    </row>
    <row r="12" spans="1:90" ht="13.5" customHeight="1" thickBot="1" x14ac:dyDescent="0.25">
      <c r="A12" s="4"/>
      <c r="B12" s="27"/>
      <c r="C12" s="28" t="s">
        <v>12</v>
      </c>
      <c r="D12" s="28"/>
      <c r="E12" s="29"/>
      <c r="F12" s="28"/>
      <c r="G12" s="30">
        <v>14902.17</v>
      </c>
      <c r="H12" s="31"/>
      <c r="I12" s="30">
        <v>7500</v>
      </c>
      <c r="J12" s="31"/>
      <c r="K12" s="30">
        <f>ROUND((G12-I12),5)</f>
        <v>7402.17</v>
      </c>
      <c r="L12" s="31"/>
      <c r="M12" s="32">
        <f>ROUND(IF(I12=0, IF(G12=0, 0, 1), G12/I12),5)</f>
        <v>1.9869600000000001</v>
      </c>
      <c r="N12" s="31"/>
      <c r="O12" s="30">
        <v>812.15</v>
      </c>
      <c r="P12" s="31"/>
      <c r="Q12" s="30">
        <v>7500</v>
      </c>
      <c r="R12" s="31"/>
      <c r="S12" s="30">
        <f>ROUND((O12-Q12),5)</f>
        <v>-6687.85</v>
      </c>
      <c r="T12" s="31"/>
      <c r="U12" s="32">
        <f>ROUND(IF(Q12=0, IF(O12=0, 0, 1), O12/Q12),5)</f>
        <v>0.10829</v>
      </c>
      <c r="V12" s="31"/>
      <c r="W12" s="33">
        <v>7063.97</v>
      </c>
      <c r="X12" s="33"/>
      <c r="Y12" s="33">
        <v>7500</v>
      </c>
      <c r="Z12" s="33"/>
      <c r="AA12" s="33">
        <f>ROUND((W12-Y12),5)</f>
        <v>-436.03</v>
      </c>
      <c r="AB12" s="33"/>
      <c r="AC12" s="33"/>
      <c r="AD12" s="34">
        <v>95859.7</v>
      </c>
      <c r="AE12" s="34"/>
      <c r="AF12" s="71">
        <v>96593.4</v>
      </c>
      <c r="AG12" s="72"/>
      <c r="AH12" s="73">
        <v>93694.24</v>
      </c>
      <c r="AI12" s="73"/>
      <c r="AJ12" s="73">
        <v>74174.070000000007</v>
      </c>
      <c r="AK12" s="73"/>
      <c r="AL12" s="73">
        <v>90000</v>
      </c>
      <c r="AM12" s="73"/>
      <c r="AN12" s="73">
        <v>91394.98</v>
      </c>
      <c r="AO12" s="73"/>
      <c r="AP12" s="74">
        <v>45570.2</v>
      </c>
      <c r="AQ12" s="73"/>
      <c r="AR12" s="73">
        <v>45000</v>
      </c>
      <c r="AS12" s="73">
        <f t="shared" si="6"/>
        <v>91140.4</v>
      </c>
      <c r="AT12" s="73"/>
      <c r="AU12" s="92"/>
      <c r="AV12" s="93">
        <v>119281.53</v>
      </c>
      <c r="AW12" s="94"/>
      <c r="AX12" s="95">
        <f>AN12-AL12</f>
        <v>1394.9799999999959</v>
      </c>
      <c r="AY12" s="96"/>
      <c r="AZ12" s="97">
        <v>59945.58</v>
      </c>
      <c r="BA12" s="93"/>
      <c r="BB12" s="98"/>
      <c r="BC12" s="99"/>
      <c r="BD12" s="93">
        <v>129644.11</v>
      </c>
      <c r="BE12" s="93"/>
      <c r="BF12" s="93"/>
      <c r="BG12" s="93">
        <v>137874.82999999999</v>
      </c>
      <c r="BH12" s="93"/>
      <c r="BI12" s="100">
        <v>105352.81</v>
      </c>
      <c r="BJ12" s="93"/>
      <c r="BK12" s="93">
        <v>137874.82999999999</v>
      </c>
      <c r="BL12" s="93"/>
      <c r="BM12" s="101">
        <f>BK12-BG12</f>
        <v>0</v>
      </c>
      <c r="BN12" s="101"/>
      <c r="BO12" s="102">
        <f>56252.65+122.27</f>
        <v>56374.92</v>
      </c>
      <c r="BP12" s="102"/>
      <c r="BQ12" s="102">
        <f t="shared" si="8"/>
        <v>112749.84</v>
      </c>
      <c r="BR12" s="102"/>
      <c r="BS12" s="102">
        <f t="shared" si="1"/>
        <v>-25124.989999999991</v>
      </c>
      <c r="BT12" s="101"/>
      <c r="BU12" s="93">
        <f>BK12*1.15</f>
        <v>158556.05449999997</v>
      </c>
      <c r="BV12" s="101"/>
      <c r="BW12" s="101">
        <f t="shared" si="9"/>
        <v>20681.224499999982</v>
      </c>
      <c r="BX12" s="58"/>
      <c r="BY12" s="91" t="s">
        <v>246</v>
      </c>
      <c r="BZ12" s="102">
        <f>BX12*2</f>
        <v>0</v>
      </c>
      <c r="CA12" s="102"/>
      <c r="CB12" s="93">
        <v>136095.22</v>
      </c>
      <c r="CC12" s="93"/>
      <c r="CD12" s="93">
        <f>61890.35*2</f>
        <v>123780.7</v>
      </c>
      <c r="CE12" s="93"/>
      <c r="CF12" s="93">
        <v>136095.22</v>
      </c>
      <c r="CG12" s="99"/>
      <c r="CH12" s="103">
        <f t="shared" si="4"/>
        <v>0</v>
      </c>
      <c r="CI12" s="96"/>
      <c r="CJ12" s="297" t="s">
        <v>316</v>
      </c>
      <c r="CK12" s="346">
        <f t="shared" si="5"/>
        <v>11341.268333333333</v>
      </c>
    </row>
    <row r="13" spans="1:90" ht="13.5" customHeight="1" thickBot="1" x14ac:dyDescent="0.25">
      <c r="A13" s="4"/>
      <c r="B13" s="347" t="s">
        <v>9</v>
      </c>
      <c r="C13" s="348"/>
      <c r="D13" s="348"/>
      <c r="E13" s="348"/>
      <c r="F13" s="348"/>
      <c r="G13" s="30">
        <f>ROUND(SUM(G9:G12),5)</f>
        <v>51428.31</v>
      </c>
      <c r="H13" s="31"/>
      <c r="I13" s="30">
        <f>ROUND(SUM(I9:I12),5)</f>
        <v>22697.58</v>
      </c>
      <c r="J13" s="31"/>
      <c r="K13" s="30">
        <f>ROUND((G13-I13),5)</f>
        <v>28730.73</v>
      </c>
      <c r="L13" s="31"/>
      <c r="M13" s="32">
        <f>ROUND(IF(I13=0, IF(G13=0, 0, 1), G13/I13),5)</f>
        <v>2.2658100000000001</v>
      </c>
      <c r="N13" s="31"/>
      <c r="O13" s="30">
        <f>ROUND(SUM(O9:O12),5)</f>
        <v>13828.13</v>
      </c>
      <c r="P13" s="31"/>
      <c r="Q13" s="30">
        <f>ROUND(SUM(Q9:Q12),5)</f>
        <v>22697.51</v>
      </c>
      <c r="R13" s="31"/>
      <c r="S13" s="30">
        <f>ROUND((O13-Q13),5)</f>
        <v>-8869.3799999999992</v>
      </c>
      <c r="T13" s="31"/>
      <c r="U13" s="32">
        <f>ROUND(IF(Q13=0, IF(O13=0, 0, 1), O13/Q13),5)</f>
        <v>0.60924</v>
      </c>
      <c r="V13" s="31"/>
      <c r="W13" s="33">
        <f>SUM(W10:W12)</f>
        <v>21493.24</v>
      </c>
      <c r="X13" s="33"/>
      <c r="Y13" s="33">
        <f>SUM(Y10:Y12)</f>
        <v>22697.510000000002</v>
      </c>
      <c r="Z13" s="33"/>
      <c r="AA13" s="33">
        <f>ROUND((W13-Y13),5)</f>
        <v>-1204.27</v>
      </c>
      <c r="AB13" s="33"/>
      <c r="AC13" s="76"/>
      <c r="AD13" s="77">
        <f>SUM(AD10:AD12)</f>
        <v>349671.76</v>
      </c>
      <c r="AE13" s="77"/>
      <c r="AF13" s="39">
        <f>SUM(AF10:AF12)</f>
        <v>346160.48</v>
      </c>
      <c r="AG13" s="40"/>
      <c r="AH13" s="41">
        <f>SUM(AH10:AH12)</f>
        <v>342694.24</v>
      </c>
      <c r="AI13" s="41"/>
      <c r="AJ13" s="41">
        <v>249191.91</v>
      </c>
      <c r="AK13" s="41"/>
      <c r="AL13" s="41">
        <f>SUM(AL10:AL12)</f>
        <v>272370.19</v>
      </c>
      <c r="AM13" s="41"/>
      <c r="AN13" s="41">
        <f>SUM(AN10:AN12)</f>
        <v>240384.15999999997</v>
      </c>
      <c r="AO13" s="41"/>
      <c r="AP13" s="78">
        <v>109646.27</v>
      </c>
      <c r="AQ13" s="41"/>
      <c r="AR13" s="41">
        <f>SUM(AR10:AR12)</f>
        <v>136185.13</v>
      </c>
      <c r="AS13" s="41">
        <f t="shared" si="6"/>
        <v>219292.54</v>
      </c>
      <c r="AT13" s="41"/>
      <c r="AU13" s="42"/>
      <c r="AV13" s="104">
        <f>SUM(AV10:AV12)</f>
        <v>309225.58999999997</v>
      </c>
      <c r="AW13" s="105"/>
      <c r="AX13" s="106">
        <f>AN13-AL13</f>
        <v>-31986.030000000028</v>
      </c>
      <c r="AY13" s="96"/>
      <c r="AZ13" s="97">
        <v>154478.14000000001</v>
      </c>
      <c r="BA13" s="104"/>
      <c r="BB13" s="98"/>
      <c r="BC13" s="107"/>
      <c r="BD13" s="104">
        <f>BD10+BD11+BD12</f>
        <v>318709.23</v>
      </c>
      <c r="BE13" s="104"/>
      <c r="BF13" s="104"/>
      <c r="BG13" s="104">
        <f>SUM(BG10:BG12)</f>
        <v>383874.82999999996</v>
      </c>
      <c r="BH13" s="104"/>
      <c r="BI13" s="104">
        <f>SUM(BI10:BI12)</f>
        <v>378128.11</v>
      </c>
      <c r="BJ13" s="104"/>
      <c r="BK13" s="104">
        <v>354285.22</v>
      </c>
      <c r="BL13" s="104"/>
      <c r="BM13" s="108">
        <f>BK13-BG13</f>
        <v>-29589.609999999986</v>
      </c>
      <c r="BN13" s="108"/>
      <c r="BO13" s="109">
        <v>177142.61</v>
      </c>
      <c r="BP13" s="109"/>
      <c r="BQ13" s="109">
        <v>337169.83</v>
      </c>
      <c r="BR13" s="109"/>
      <c r="BS13" s="109">
        <f t="shared" si="1"/>
        <v>-17115.389999999956</v>
      </c>
      <c r="BT13" s="108"/>
      <c r="BU13" s="104">
        <f>SUM(BU10:BU12)</f>
        <v>406556.05449999997</v>
      </c>
      <c r="BV13" s="108"/>
      <c r="BW13" s="108">
        <f t="shared" si="9"/>
        <v>52270.834499999997</v>
      </c>
      <c r="BX13" s="101"/>
      <c r="BY13" s="110"/>
      <c r="BZ13" s="109">
        <v>351835.09</v>
      </c>
      <c r="CA13" s="109"/>
      <c r="CB13" s="104">
        <f>SUM(CB10:CB12)</f>
        <v>435089.49</v>
      </c>
      <c r="CC13" s="104"/>
      <c r="CD13" s="104">
        <v>298024.52</v>
      </c>
      <c r="CE13" s="104"/>
      <c r="CF13" s="104">
        <f>SUM(CF10:CF12)</f>
        <v>383695.9</v>
      </c>
      <c r="CG13" s="107"/>
      <c r="CH13" s="111">
        <f t="shared" si="4"/>
        <v>-51393.589999999967</v>
      </c>
      <c r="CI13" s="88"/>
      <c r="CJ13" s="298" t="s">
        <v>247</v>
      </c>
      <c r="CK13" s="346">
        <f t="shared" si="5"/>
        <v>31974.658333333336</v>
      </c>
      <c r="CL13" s="5" t="s">
        <v>173</v>
      </c>
    </row>
    <row r="14" spans="1:90" ht="13.5" customHeight="1" x14ac:dyDescent="0.2">
      <c r="A14" s="4"/>
      <c r="B14" s="327" t="s">
        <v>221</v>
      </c>
      <c r="C14" s="326"/>
      <c r="D14" s="326"/>
      <c r="E14" s="328"/>
      <c r="F14" s="326"/>
      <c r="G14" s="30"/>
      <c r="H14" s="31"/>
      <c r="I14" s="30"/>
      <c r="J14" s="31"/>
      <c r="K14" s="30"/>
      <c r="L14" s="31"/>
      <c r="M14" s="32"/>
      <c r="N14" s="31"/>
      <c r="O14" s="30"/>
      <c r="P14" s="31"/>
      <c r="Q14" s="30"/>
      <c r="R14" s="31"/>
      <c r="S14" s="30"/>
      <c r="T14" s="31"/>
      <c r="U14" s="32"/>
      <c r="V14" s="31"/>
      <c r="W14" s="33"/>
      <c r="X14" s="33"/>
      <c r="Y14" s="33"/>
      <c r="Z14" s="33"/>
      <c r="AA14" s="33"/>
      <c r="AB14" s="33"/>
      <c r="AC14" s="33"/>
      <c r="AD14" s="34"/>
      <c r="AE14" s="34"/>
      <c r="AF14" s="39"/>
      <c r="AG14" s="40"/>
      <c r="AH14" s="41"/>
      <c r="AI14" s="41"/>
      <c r="AJ14" s="41"/>
      <c r="AK14" s="41"/>
      <c r="AL14" s="41"/>
      <c r="AM14" s="41"/>
      <c r="AN14" s="41"/>
      <c r="AO14" s="41"/>
      <c r="AP14" s="78"/>
      <c r="AQ14" s="41"/>
      <c r="AR14" s="41"/>
      <c r="AS14" s="41"/>
      <c r="AT14" s="41"/>
      <c r="AU14" s="42"/>
      <c r="AV14" s="79">
        <f>AV13+AV8+AV3</f>
        <v>1408795.1</v>
      </c>
      <c r="AW14" s="80"/>
      <c r="AX14" s="81"/>
      <c r="AY14" s="88"/>
      <c r="AZ14" s="89"/>
      <c r="BA14" s="79"/>
      <c r="BB14" s="82"/>
      <c r="BC14" s="83"/>
      <c r="BD14" s="79">
        <f>BD13+BD8+BD3</f>
        <v>1355347.61</v>
      </c>
      <c r="BE14" s="79"/>
      <c r="BF14" s="79"/>
      <c r="BG14" s="79">
        <f>BG13+BG8+BG3</f>
        <v>1573013.7399999998</v>
      </c>
      <c r="BH14" s="79"/>
      <c r="BI14" s="79">
        <f>BI13+BI8+BI3</f>
        <v>1436852.5699999998</v>
      </c>
      <c r="BJ14" s="79"/>
      <c r="BK14" s="79">
        <f>BK13+BK8+BK3</f>
        <v>1419203.02</v>
      </c>
      <c r="BL14" s="79"/>
      <c r="BM14" s="84"/>
      <c r="BN14" s="84"/>
      <c r="BO14" s="79">
        <f>BO13+BO8+BO3</f>
        <v>692101.49</v>
      </c>
      <c r="BP14" s="79"/>
      <c r="BQ14" s="85">
        <f>BQ3+BQ8+BQ13</f>
        <v>1342753.6099999999</v>
      </c>
      <c r="BR14" s="85"/>
      <c r="BS14" s="85">
        <f t="shared" si="1"/>
        <v>-76449.410000000149</v>
      </c>
      <c r="BT14" s="84"/>
      <c r="BU14" s="79">
        <f>BU13+BU8+BU3</f>
        <v>1528273.9844999998</v>
      </c>
      <c r="BV14" s="84"/>
      <c r="BW14" s="84">
        <f t="shared" si="9"/>
        <v>109070.96449999977</v>
      </c>
      <c r="BX14" s="84"/>
      <c r="BY14" s="86"/>
      <c r="BZ14" s="85">
        <f>SUM(BZ3:BZ13)</f>
        <v>1419636.8900000001</v>
      </c>
      <c r="CA14" s="85"/>
      <c r="CB14" s="79">
        <f>CB13+CB8+CB3</f>
        <v>1626380.09</v>
      </c>
      <c r="CC14" s="79"/>
      <c r="CD14" s="79">
        <f>CD3+CD8+CD13</f>
        <v>1277004.5</v>
      </c>
      <c r="CE14" s="79"/>
      <c r="CF14" s="79">
        <f>CF13+CF8+CF3</f>
        <v>1555822.5699999998</v>
      </c>
      <c r="CG14" s="83"/>
      <c r="CH14" s="112">
        <f t="shared" si="4"/>
        <v>-70557.520000000251</v>
      </c>
      <c r="CI14" s="199"/>
      <c r="CJ14" s="299"/>
      <c r="CK14" s="346">
        <f t="shared" si="5"/>
        <v>129651.88083333331</v>
      </c>
    </row>
    <row r="15" spans="1:90" ht="13.5" customHeight="1" x14ac:dyDescent="0.2">
      <c r="A15" s="4"/>
      <c r="B15" s="327" t="s">
        <v>195</v>
      </c>
      <c r="C15" s="326"/>
      <c r="D15" s="326"/>
      <c r="E15" s="328"/>
      <c r="F15" s="326"/>
      <c r="G15" s="30"/>
      <c r="H15" s="31"/>
      <c r="I15" s="30"/>
      <c r="J15" s="31"/>
      <c r="K15" s="30"/>
      <c r="L15" s="31"/>
      <c r="M15" s="32"/>
      <c r="N15" s="31"/>
      <c r="O15" s="30"/>
      <c r="P15" s="31"/>
      <c r="Q15" s="30"/>
      <c r="R15" s="31"/>
      <c r="S15" s="30"/>
      <c r="T15" s="31"/>
      <c r="U15" s="32"/>
      <c r="V15" s="31"/>
      <c r="W15" s="33"/>
      <c r="X15" s="33"/>
      <c r="Y15" s="33"/>
      <c r="Z15" s="33"/>
      <c r="AA15" s="33"/>
      <c r="AB15" s="33"/>
      <c r="AC15" s="33"/>
      <c r="AD15" s="34"/>
      <c r="AE15" s="34"/>
      <c r="AF15" s="39"/>
      <c r="AG15" s="40"/>
      <c r="AH15" s="41"/>
      <c r="AI15" s="41"/>
      <c r="AJ15" s="41"/>
      <c r="AK15" s="41"/>
      <c r="AL15" s="41"/>
      <c r="AM15" s="41"/>
      <c r="AN15" s="41"/>
      <c r="AO15" s="41"/>
      <c r="AP15" s="78"/>
      <c r="AQ15" s="41"/>
      <c r="AR15" s="41"/>
      <c r="AS15" s="41"/>
      <c r="AT15" s="41"/>
      <c r="AU15" s="42"/>
      <c r="AV15" s="79"/>
      <c r="AW15" s="80"/>
      <c r="AX15" s="81"/>
      <c r="AY15" s="88"/>
      <c r="AZ15" s="89"/>
      <c r="BA15" s="79"/>
      <c r="BB15" s="82"/>
      <c r="BC15" s="83"/>
      <c r="BD15" s="54"/>
      <c r="BE15" s="54"/>
      <c r="BF15" s="54"/>
      <c r="BG15" s="54"/>
      <c r="BH15" s="54"/>
      <c r="BI15" s="54"/>
      <c r="BJ15" s="54"/>
      <c r="BK15" s="54"/>
      <c r="BL15" s="54"/>
      <c r="BM15" s="58"/>
      <c r="BN15" s="58"/>
      <c r="BO15" s="113"/>
      <c r="BP15" s="113"/>
      <c r="BQ15" s="66"/>
      <c r="BR15" s="66"/>
      <c r="BS15" s="66"/>
      <c r="BT15" s="58"/>
      <c r="BU15" s="54"/>
      <c r="BV15" s="58"/>
      <c r="BW15" s="58"/>
      <c r="BX15" s="58"/>
      <c r="BY15" s="91"/>
      <c r="BZ15" s="66"/>
      <c r="CA15" s="66"/>
      <c r="CB15" s="54"/>
      <c r="CC15" s="54"/>
      <c r="CD15" s="54"/>
      <c r="CE15" s="54"/>
      <c r="CF15" s="54"/>
      <c r="CG15" s="60"/>
      <c r="CH15" s="61"/>
      <c r="CI15" s="200"/>
      <c r="CJ15" s="294"/>
      <c r="CK15" s="346">
        <f t="shared" si="5"/>
        <v>0</v>
      </c>
    </row>
    <row r="16" spans="1:90" ht="12.75" customHeight="1" x14ac:dyDescent="0.2">
      <c r="A16" s="4"/>
      <c r="B16" s="27"/>
      <c r="C16" s="28" t="s">
        <v>58</v>
      </c>
      <c r="D16" s="28"/>
      <c r="E16" s="29"/>
      <c r="F16" s="28"/>
      <c r="G16" s="30">
        <v>375</v>
      </c>
      <c r="H16" s="31"/>
      <c r="I16" s="30">
        <v>416.63</v>
      </c>
      <c r="J16" s="31"/>
      <c r="K16" s="30">
        <f>ROUND((G16-I16),5)</f>
        <v>-41.63</v>
      </c>
      <c r="L16" s="31"/>
      <c r="M16" s="32">
        <f>ROUND(IF(I16=0, IF(G16=0, 0, 1), G16/I16),5)</f>
        <v>0.90007999999999999</v>
      </c>
      <c r="N16" s="31"/>
      <c r="O16" s="30">
        <v>375</v>
      </c>
      <c r="P16" s="31"/>
      <c r="Q16" s="30">
        <v>416.67</v>
      </c>
      <c r="R16" s="31"/>
      <c r="S16" s="30">
        <f>ROUND((O16-Q16),5)</f>
        <v>-41.67</v>
      </c>
      <c r="T16" s="31"/>
      <c r="U16" s="32">
        <f>ROUND(IF(Q16=0, IF(O16=0, 0, 1), O16/Q16),5)</f>
        <v>0.89998999999999996</v>
      </c>
      <c r="V16" s="31"/>
      <c r="W16" s="33">
        <v>375</v>
      </c>
      <c r="X16" s="33"/>
      <c r="Y16" s="33">
        <v>416.67</v>
      </c>
      <c r="Z16" s="33"/>
      <c r="AA16" s="33">
        <f>ROUND((W16-Y16),5)</f>
        <v>-41.67</v>
      </c>
      <c r="AB16" s="33"/>
      <c r="AC16" s="33"/>
      <c r="AD16" s="34">
        <v>4500</v>
      </c>
      <c r="AE16" s="34"/>
      <c r="AF16" s="49">
        <v>4354.53</v>
      </c>
      <c r="AG16" s="50"/>
      <c r="AH16" s="51">
        <v>5000</v>
      </c>
      <c r="AI16" s="51"/>
      <c r="AJ16" s="51">
        <v>4590</v>
      </c>
      <c r="AK16" s="51"/>
      <c r="AL16" s="51">
        <v>5000</v>
      </c>
      <c r="AM16" s="51"/>
      <c r="AN16" s="51">
        <v>4586</v>
      </c>
      <c r="AO16" s="51"/>
      <c r="AP16" s="51">
        <v>2250</v>
      </c>
      <c r="AQ16" s="51"/>
      <c r="AR16" s="51">
        <f>ROUND(I16+Q16+Y16,5)</f>
        <v>1249.97</v>
      </c>
      <c r="AS16" s="51">
        <f>AP16*2</f>
        <v>4500</v>
      </c>
      <c r="AT16" s="51"/>
      <c r="AU16" s="87"/>
      <c r="AV16" s="54">
        <v>5000</v>
      </c>
      <c r="AW16" s="55"/>
      <c r="AX16" s="56">
        <f>AN16-AL16</f>
        <v>-414</v>
      </c>
      <c r="AY16" s="88"/>
      <c r="AZ16" s="89">
        <v>2250</v>
      </c>
      <c r="BA16" s="54"/>
      <c r="BB16" s="114"/>
      <c r="BC16" s="60"/>
      <c r="BD16" s="54">
        <f>AZ16*2</f>
        <v>4500</v>
      </c>
      <c r="BE16" s="54"/>
      <c r="BF16" s="54"/>
      <c r="BG16" s="54">
        <v>5000</v>
      </c>
      <c r="BH16" s="54"/>
      <c r="BI16" s="57">
        <v>4500</v>
      </c>
      <c r="BJ16" s="54"/>
      <c r="BK16" s="54">
        <v>4500</v>
      </c>
      <c r="BL16" s="54"/>
      <c r="BM16" s="58">
        <f>BK16-BG16</f>
        <v>-500</v>
      </c>
      <c r="BN16" s="58"/>
      <c r="BO16" s="66">
        <v>618.87</v>
      </c>
      <c r="BP16" s="66"/>
      <c r="BQ16" s="66">
        <v>553.87</v>
      </c>
      <c r="BR16" s="66"/>
      <c r="BS16" s="66">
        <f t="shared" si="1"/>
        <v>-3946.13</v>
      </c>
      <c r="BT16" s="58"/>
      <c r="BU16" s="54">
        <v>9000</v>
      </c>
      <c r="BV16" s="58"/>
      <c r="BW16" s="58">
        <f t="shared" ref="BW16:BW18" si="10">BU16-BK16</f>
        <v>4500</v>
      </c>
      <c r="BX16" s="58"/>
      <c r="BY16" s="91" t="s">
        <v>248</v>
      </c>
      <c r="BZ16" s="66">
        <v>5100</v>
      </c>
      <c r="CA16" s="115"/>
      <c r="CB16" s="60">
        <v>9000</v>
      </c>
      <c r="CC16" s="60"/>
      <c r="CD16" s="60">
        <v>6750</v>
      </c>
      <c r="CE16" s="60"/>
      <c r="CF16" s="60">
        <v>9000</v>
      </c>
      <c r="CG16" s="60"/>
      <c r="CH16" s="61">
        <f t="shared" si="4"/>
        <v>0</v>
      </c>
      <c r="CI16" s="200"/>
      <c r="CJ16" s="295" t="s">
        <v>204</v>
      </c>
      <c r="CK16" s="346">
        <f t="shared" si="5"/>
        <v>750</v>
      </c>
    </row>
    <row r="17" spans="1:89" ht="13.5" customHeight="1" thickBot="1" x14ac:dyDescent="0.25">
      <c r="A17" s="4"/>
      <c r="B17" s="27"/>
      <c r="C17" s="28"/>
      <c r="D17" s="28" t="s">
        <v>180</v>
      </c>
      <c r="E17" s="29"/>
      <c r="F17" s="28"/>
      <c r="G17" s="30"/>
      <c r="H17" s="31"/>
      <c r="I17" s="30"/>
      <c r="J17" s="31"/>
      <c r="K17" s="30"/>
      <c r="L17" s="31"/>
      <c r="M17" s="32"/>
      <c r="N17" s="31"/>
      <c r="O17" s="30"/>
      <c r="P17" s="31"/>
      <c r="Q17" s="30"/>
      <c r="R17" s="31"/>
      <c r="S17" s="30"/>
      <c r="T17" s="31"/>
      <c r="U17" s="32"/>
      <c r="V17" s="31"/>
      <c r="W17" s="33"/>
      <c r="X17" s="33"/>
      <c r="Y17" s="33"/>
      <c r="Z17" s="33"/>
      <c r="AA17" s="33"/>
      <c r="AB17" s="33"/>
      <c r="AC17" s="33"/>
      <c r="AD17" s="34"/>
      <c r="AE17" s="34"/>
      <c r="AF17" s="49"/>
      <c r="AG17" s="50"/>
      <c r="AH17" s="51"/>
      <c r="AI17" s="51"/>
      <c r="AJ17" s="51"/>
      <c r="AK17" s="51"/>
      <c r="AL17" s="73"/>
      <c r="AM17" s="73"/>
      <c r="AN17" s="73"/>
      <c r="AO17" s="73"/>
      <c r="AP17" s="73"/>
      <c r="AQ17" s="73"/>
      <c r="AR17" s="73"/>
      <c r="AS17" s="73"/>
      <c r="AT17" s="73"/>
      <c r="AU17" s="116"/>
      <c r="AV17" s="93"/>
      <c r="AW17" s="94"/>
      <c r="AX17" s="95"/>
      <c r="AY17" s="96"/>
      <c r="AZ17" s="97"/>
      <c r="BA17" s="93"/>
      <c r="BB17" s="117"/>
      <c r="BC17" s="99"/>
      <c r="BD17" s="93"/>
      <c r="BE17" s="93"/>
      <c r="BF17" s="93"/>
      <c r="BG17" s="93"/>
      <c r="BH17" s="93"/>
      <c r="BI17" s="100"/>
      <c r="BJ17" s="93"/>
      <c r="BK17" s="93">
        <v>1237.74</v>
      </c>
      <c r="BL17" s="93"/>
      <c r="BM17" s="101">
        <f>BK17-BG17</f>
        <v>1237.74</v>
      </c>
      <c r="BN17" s="101"/>
      <c r="BO17" s="102">
        <v>2250</v>
      </c>
      <c r="BP17" s="102"/>
      <c r="BQ17" s="102">
        <v>4500</v>
      </c>
      <c r="BR17" s="102"/>
      <c r="BS17" s="102">
        <f t="shared" si="1"/>
        <v>3262.26</v>
      </c>
      <c r="BT17" s="101"/>
      <c r="BU17" s="93">
        <v>5000</v>
      </c>
      <c r="BV17" s="101"/>
      <c r="BW17" s="101">
        <f t="shared" si="10"/>
        <v>3762.26</v>
      </c>
      <c r="BX17" s="58"/>
      <c r="BY17" s="90" t="s">
        <v>204</v>
      </c>
      <c r="BZ17" s="102">
        <v>0</v>
      </c>
      <c r="CA17" s="118"/>
      <c r="CB17" s="99">
        <v>5000</v>
      </c>
      <c r="CC17" s="99"/>
      <c r="CD17" s="99">
        <v>210</v>
      </c>
      <c r="CE17" s="99"/>
      <c r="CF17" s="99">
        <v>3000</v>
      </c>
      <c r="CG17" s="99"/>
      <c r="CH17" s="103">
        <f t="shared" si="4"/>
        <v>-2000</v>
      </c>
      <c r="CI17" s="129"/>
      <c r="CJ17" s="300" t="s">
        <v>239</v>
      </c>
      <c r="CK17" s="346">
        <f t="shared" si="5"/>
        <v>250</v>
      </c>
    </row>
    <row r="18" spans="1:89" ht="11.25" customHeight="1" x14ac:dyDescent="0.2">
      <c r="A18" s="4"/>
      <c r="B18" s="27" t="s">
        <v>194</v>
      </c>
      <c r="C18" s="28"/>
      <c r="D18" s="28"/>
      <c r="E18" s="29"/>
      <c r="F18" s="28"/>
      <c r="G18" s="30"/>
      <c r="H18" s="31"/>
      <c r="I18" s="30"/>
      <c r="J18" s="31"/>
      <c r="K18" s="30"/>
      <c r="L18" s="31"/>
      <c r="M18" s="32"/>
      <c r="N18" s="31"/>
      <c r="O18" s="30"/>
      <c r="P18" s="31"/>
      <c r="Q18" s="30"/>
      <c r="R18" s="31"/>
      <c r="S18" s="30"/>
      <c r="T18" s="31"/>
      <c r="U18" s="32"/>
      <c r="V18" s="31"/>
      <c r="W18" s="33"/>
      <c r="X18" s="33"/>
      <c r="Y18" s="33"/>
      <c r="Z18" s="33"/>
      <c r="AA18" s="33"/>
      <c r="AB18" s="33"/>
      <c r="AC18" s="33"/>
      <c r="AD18" s="34"/>
      <c r="AE18" s="34"/>
      <c r="AF18" s="39"/>
      <c r="AG18" s="40"/>
      <c r="AH18" s="41"/>
      <c r="AI18" s="41"/>
      <c r="AJ18" s="41"/>
      <c r="AK18" s="41"/>
      <c r="AL18" s="41">
        <f>AL17+AL16</f>
        <v>5000</v>
      </c>
      <c r="AM18" s="41"/>
      <c r="AN18" s="41">
        <f t="shared" ref="AN18:BM18" si="11">AN17+AN16</f>
        <v>4586</v>
      </c>
      <c r="AO18" s="41">
        <f t="shared" si="11"/>
        <v>0</v>
      </c>
      <c r="AP18" s="41">
        <f t="shared" si="11"/>
        <v>2250</v>
      </c>
      <c r="AQ18" s="41">
        <f t="shared" si="11"/>
        <v>0</v>
      </c>
      <c r="AR18" s="41">
        <f t="shared" si="11"/>
        <v>1249.97</v>
      </c>
      <c r="AS18" s="41">
        <f t="shared" si="11"/>
        <v>4500</v>
      </c>
      <c r="AT18" s="41">
        <f t="shared" si="11"/>
        <v>0</v>
      </c>
      <c r="AU18" s="41">
        <f t="shared" si="11"/>
        <v>0</v>
      </c>
      <c r="AV18" s="79">
        <f t="shared" si="11"/>
        <v>5000</v>
      </c>
      <c r="AW18" s="79">
        <f t="shared" si="11"/>
        <v>0</v>
      </c>
      <c r="AX18" s="79">
        <f t="shared" si="11"/>
        <v>-414</v>
      </c>
      <c r="AY18" s="79">
        <f t="shared" si="11"/>
        <v>0</v>
      </c>
      <c r="AZ18" s="79">
        <f t="shared" si="11"/>
        <v>2250</v>
      </c>
      <c r="BA18" s="79">
        <f t="shared" si="11"/>
        <v>0</v>
      </c>
      <c r="BB18" s="79">
        <f t="shared" si="11"/>
        <v>0</v>
      </c>
      <c r="BC18" s="83">
        <f t="shared" si="11"/>
        <v>0</v>
      </c>
      <c r="BD18" s="79">
        <f t="shared" si="11"/>
        <v>4500</v>
      </c>
      <c r="BE18" s="79">
        <f t="shared" si="11"/>
        <v>0</v>
      </c>
      <c r="BF18" s="79">
        <f t="shared" si="11"/>
        <v>0</v>
      </c>
      <c r="BG18" s="79">
        <f t="shared" si="11"/>
        <v>5000</v>
      </c>
      <c r="BH18" s="79">
        <f t="shared" si="11"/>
        <v>0</v>
      </c>
      <c r="BI18" s="79">
        <f t="shared" si="11"/>
        <v>4500</v>
      </c>
      <c r="BJ18" s="79">
        <f t="shared" si="11"/>
        <v>0</v>
      </c>
      <c r="BK18" s="79">
        <f t="shared" si="11"/>
        <v>5737.74</v>
      </c>
      <c r="BL18" s="79">
        <f t="shared" si="11"/>
        <v>0</v>
      </c>
      <c r="BM18" s="84">
        <f t="shared" si="11"/>
        <v>737.74</v>
      </c>
      <c r="BN18" s="84"/>
      <c r="BO18" s="85">
        <v>2868.87</v>
      </c>
      <c r="BP18" s="85"/>
      <c r="BQ18" s="85">
        <f t="shared" si="8"/>
        <v>5737.74</v>
      </c>
      <c r="BR18" s="85"/>
      <c r="BS18" s="85">
        <f t="shared" si="1"/>
        <v>0</v>
      </c>
      <c r="BT18" s="84"/>
      <c r="BU18" s="79">
        <f t="shared" ref="BU18" si="12">BU17+BU16</f>
        <v>14000</v>
      </c>
      <c r="BV18" s="84"/>
      <c r="BW18" s="84">
        <f t="shared" si="10"/>
        <v>8262.26</v>
      </c>
      <c r="BX18" s="58"/>
      <c r="BY18" s="91"/>
      <c r="BZ18" s="85">
        <f>SUM(BZ16:BZ17)</f>
        <v>5100</v>
      </c>
      <c r="CA18" s="85"/>
      <c r="CB18" s="79">
        <f t="shared" ref="CB18:CF18" si="13">CB17+CB16</f>
        <v>14000</v>
      </c>
      <c r="CC18" s="79"/>
      <c r="CD18" s="79">
        <f>SUM(CD16:CD17)</f>
        <v>6960</v>
      </c>
      <c r="CE18" s="79"/>
      <c r="CF18" s="79">
        <f t="shared" si="13"/>
        <v>12000</v>
      </c>
      <c r="CG18" s="83"/>
      <c r="CH18" s="112">
        <f t="shared" si="4"/>
        <v>-2000</v>
      </c>
      <c r="CI18" s="199"/>
      <c r="CJ18" s="299"/>
      <c r="CK18" s="346">
        <f t="shared" si="5"/>
        <v>1000</v>
      </c>
    </row>
    <row r="19" spans="1:89" ht="14.25" customHeight="1" x14ac:dyDescent="0.2">
      <c r="A19" s="4"/>
      <c r="B19" s="327" t="s">
        <v>192</v>
      </c>
      <c r="C19" s="326"/>
      <c r="D19" s="326"/>
      <c r="E19" s="328"/>
      <c r="F19" s="326"/>
      <c r="G19" s="30"/>
      <c r="H19" s="31"/>
      <c r="I19" s="30"/>
      <c r="J19" s="31"/>
      <c r="K19" s="30"/>
      <c r="L19" s="31"/>
      <c r="M19" s="32"/>
      <c r="N19" s="31"/>
      <c r="O19" s="30"/>
      <c r="P19" s="31"/>
      <c r="Q19" s="30"/>
      <c r="R19" s="31"/>
      <c r="S19" s="30"/>
      <c r="T19" s="31"/>
      <c r="U19" s="32"/>
      <c r="V19" s="31"/>
      <c r="W19" s="33"/>
      <c r="X19" s="33"/>
      <c r="Y19" s="33"/>
      <c r="Z19" s="33"/>
      <c r="AA19" s="33"/>
      <c r="AB19" s="33"/>
      <c r="AC19" s="33"/>
      <c r="AD19" s="34"/>
      <c r="AE19" s="34"/>
      <c r="AF19" s="39"/>
      <c r="AG19" s="40"/>
      <c r="AH19" s="41"/>
      <c r="AI19" s="41"/>
      <c r="AJ19" s="41"/>
      <c r="AK19" s="41"/>
      <c r="AL19" s="41"/>
      <c r="AM19" s="41"/>
      <c r="AN19" s="41"/>
      <c r="AO19" s="41"/>
      <c r="AP19" s="78"/>
      <c r="AQ19" s="41"/>
      <c r="AR19" s="41"/>
      <c r="AS19" s="41"/>
      <c r="AT19" s="41"/>
      <c r="AU19" s="42"/>
      <c r="AV19" s="79"/>
      <c r="AW19" s="80"/>
      <c r="AX19" s="81"/>
      <c r="AY19" s="88"/>
      <c r="AZ19" s="89"/>
      <c r="BA19" s="79"/>
      <c r="BB19" s="82"/>
      <c r="BC19" s="83"/>
      <c r="BD19" s="54"/>
      <c r="BE19" s="54"/>
      <c r="BF19" s="54"/>
      <c r="BG19" s="54"/>
      <c r="BH19" s="54"/>
      <c r="BI19" s="57"/>
      <c r="BJ19" s="54"/>
      <c r="BK19" s="54"/>
      <c r="BL19" s="54"/>
      <c r="BM19" s="58"/>
      <c r="BN19" s="58"/>
      <c r="BO19" s="54"/>
      <c r="BP19" s="54"/>
      <c r="BQ19" s="66"/>
      <c r="BR19" s="66"/>
      <c r="BS19" s="66"/>
      <c r="BT19" s="58"/>
      <c r="BU19" s="54"/>
      <c r="BV19" s="58"/>
      <c r="BW19" s="58"/>
      <c r="BX19" s="58"/>
      <c r="BY19" s="91"/>
      <c r="BZ19" s="66"/>
      <c r="CA19" s="66"/>
      <c r="CB19" s="54"/>
      <c r="CC19" s="54"/>
      <c r="CD19" s="54"/>
      <c r="CE19" s="54"/>
      <c r="CF19" s="54"/>
      <c r="CG19" s="60"/>
      <c r="CH19" s="61"/>
      <c r="CI19" s="200"/>
      <c r="CJ19" s="294"/>
      <c r="CK19" s="346">
        <f t="shared" si="5"/>
        <v>0</v>
      </c>
    </row>
    <row r="20" spans="1:89" ht="13.5" customHeight="1" x14ac:dyDescent="0.2">
      <c r="A20" s="4"/>
      <c r="B20" s="341"/>
      <c r="C20" s="342" t="s">
        <v>322</v>
      </c>
      <c r="D20" s="342"/>
      <c r="E20" s="345"/>
      <c r="F20" s="342"/>
      <c r="G20" s="30"/>
      <c r="H20" s="31"/>
      <c r="I20" s="30"/>
      <c r="J20" s="31"/>
      <c r="K20" s="30"/>
      <c r="L20" s="31"/>
      <c r="M20" s="32"/>
      <c r="N20" s="31"/>
      <c r="O20" s="30"/>
      <c r="P20" s="31"/>
      <c r="Q20" s="30"/>
      <c r="R20" s="31"/>
      <c r="S20" s="30"/>
      <c r="T20" s="31"/>
      <c r="U20" s="32"/>
      <c r="V20" s="31"/>
      <c r="W20" s="33"/>
      <c r="X20" s="33"/>
      <c r="Y20" s="33"/>
      <c r="Z20" s="33"/>
      <c r="AA20" s="33"/>
      <c r="AB20" s="33"/>
      <c r="AC20" s="33"/>
      <c r="AD20" s="34"/>
      <c r="AE20" s="34"/>
      <c r="AF20" s="39"/>
      <c r="AG20" s="40"/>
      <c r="AH20" s="41"/>
      <c r="AI20" s="41"/>
      <c r="AJ20" s="41"/>
      <c r="AK20" s="41"/>
      <c r="AL20" s="41"/>
      <c r="AM20" s="41"/>
      <c r="AN20" s="41"/>
      <c r="AO20" s="41"/>
      <c r="AP20" s="78"/>
      <c r="AQ20" s="41"/>
      <c r="AR20" s="41"/>
      <c r="AS20" s="41"/>
      <c r="AT20" s="41"/>
      <c r="AU20" s="42"/>
      <c r="AV20" s="79"/>
      <c r="AW20" s="80"/>
      <c r="AX20" s="81"/>
      <c r="AY20" s="88"/>
      <c r="AZ20" s="89"/>
      <c r="BA20" s="79"/>
      <c r="BB20" s="82"/>
      <c r="BC20" s="83"/>
      <c r="BD20" s="54"/>
      <c r="BE20" s="54"/>
      <c r="BF20" s="54"/>
      <c r="BG20" s="54"/>
      <c r="BH20" s="54"/>
      <c r="BI20" s="57"/>
      <c r="BJ20" s="54"/>
      <c r="BK20" s="54"/>
      <c r="BL20" s="54"/>
      <c r="BM20" s="58"/>
      <c r="BN20" s="58"/>
      <c r="BO20" s="54"/>
      <c r="BP20" s="54"/>
      <c r="BQ20" s="66"/>
      <c r="BR20" s="66"/>
      <c r="BS20" s="66"/>
      <c r="BT20" s="58"/>
      <c r="BU20" s="54"/>
      <c r="BV20" s="58"/>
      <c r="BW20" s="58"/>
      <c r="BX20" s="58"/>
      <c r="BY20" s="91"/>
      <c r="BZ20" s="66"/>
      <c r="CA20" s="66"/>
      <c r="CB20" s="54"/>
      <c r="CC20" s="54"/>
      <c r="CD20" s="54"/>
      <c r="CE20" s="54"/>
      <c r="CF20" s="54">
        <v>3400</v>
      </c>
      <c r="CG20" s="60"/>
      <c r="CH20" s="61"/>
      <c r="CI20" s="200"/>
      <c r="CJ20" s="294"/>
      <c r="CK20" s="346"/>
    </row>
    <row r="21" spans="1:89" ht="14.25" customHeight="1" x14ac:dyDescent="0.2">
      <c r="A21" s="4"/>
      <c r="B21" s="27"/>
      <c r="C21" s="28" t="s">
        <v>59</v>
      </c>
      <c r="D21" s="28"/>
      <c r="E21" s="29"/>
      <c r="F21" s="28"/>
      <c r="G21" s="30">
        <v>795.11</v>
      </c>
      <c r="H21" s="31"/>
      <c r="I21" s="30">
        <v>416.63</v>
      </c>
      <c r="J21" s="31"/>
      <c r="K21" s="30">
        <f>ROUND((G21-I21),5)</f>
        <v>378.48</v>
      </c>
      <c r="L21" s="31"/>
      <c r="M21" s="32">
        <f>ROUND(IF(I21=0, IF(G21=0, 0, 1), G21/I21),5)</f>
        <v>1.9084300000000001</v>
      </c>
      <c r="N21" s="31"/>
      <c r="O21" s="30">
        <v>0</v>
      </c>
      <c r="P21" s="31"/>
      <c r="Q21" s="30">
        <v>416.67</v>
      </c>
      <c r="R21" s="31"/>
      <c r="S21" s="30">
        <f>ROUND((O21-Q21),5)</f>
        <v>-416.67</v>
      </c>
      <c r="T21" s="31"/>
      <c r="U21" s="32">
        <f>ROUND(IF(Q21=0, IF(O21=0, 0, 1), O21/Q21),5)</f>
        <v>0</v>
      </c>
      <c r="V21" s="31"/>
      <c r="W21" s="33">
        <v>1378.2</v>
      </c>
      <c r="X21" s="33"/>
      <c r="Y21" s="33">
        <v>416.67</v>
      </c>
      <c r="Z21" s="33"/>
      <c r="AA21" s="33">
        <f>ROUND((W21-Y21),5)</f>
        <v>961.53</v>
      </c>
      <c r="AB21" s="33"/>
      <c r="AC21" s="33"/>
      <c r="AD21" s="34">
        <v>3000</v>
      </c>
      <c r="AE21" s="34"/>
      <c r="AF21" s="49">
        <v>1967.7</v>
      </c>
      <c r="AG21" s="50"/>
      <c r="AH21" s="51">
        <v>5000</v>
      </c>
      <c r="AI21" s="51"/>
      <c r="AJ21" s="51">
        <v>6462.36</v>
      </c>
      <c r="AK21" s="51"/>
      <c r="AL21" s="51">
        <v>5000</v>
      </c>
      <c r="AM21" s="51"/>
      <c r="AN21" s="51">
        <v>6051.76</v>
      </c>
      <c r="AO21" s="51"/>
      <c r="AP21" s="51">
        <v>2972.45</v>
      </c>
      <c r="AQ21" s="51"/>
      <c r="AR21" s="51">
        <f>ROUND(I21+Q21+Y21,5)</f>
        <v>1249.97</v>
      </c>
      <c r="AS21" s="51">
        <f t="shared" ref="AS21:AS24" si="14">AP21*2</f>
        <v>5944.9</v>
      </c>
      <c r="AT21" s="51"/>
      <c r="AU21" s="65"/>
      <c r="AV21" s="54">
        <v>5000</v>
      </c>
      <c r="AW21" s="55"/>
      <c r="AX21" s="56">
        <f>AN21-AL21</f>
        <v>1051.7600000000002</v>
      </c>
      <c r="AY21" s="88"/>
      <c r="AZ21" s="89">
        <v>5718.05</v>
      </c>
      <c r="BA21" s="54"/>
      <c r="BB21" s="114"/>
      <c r="BC21" s="60"/>
      <c r="BD21" s="54">
        <f>8849.12+511</f>
        <v>9360.1200000000008</v>
      </c>
      <c r="BE21" s="54"/>
      <c r="BF21" s="54"/>
      <c r="BG21" s="54">
        <v>5000</v>
      </c>
      <c r="BH21" s="54"/>
      <c r="BI21" s="57">
        <v>12671.17</v>
      </c>
      <c r="BJ21" s="54"/>
      <c r="BK21" s="54">
        <v>60000</v>
      </c>
      <c r="BL21" s="54"/>
      <c r="BM21" s="58">
        <f t="shared" ref="BM21:BM32" si="15">BK21-BG21</f>
        <v>55000</v>
      </c>
      <c r="BN21" s="58"/>
      <c r="BO21" s="66">
        <v>5315.56</v>
      </c>
      <c r="BP21" s="66"/>
      <c r="BQ21" s="66">
        <v>10178.77</v>
      </c>
      <c r="BR21" s="66"/>
      <c r="BS21" s="66">
        <f t="shared" si="1"/>
        <v>-49821.229999999996</v>
      </c>
      <c r="BT21" s="58"/>
      <c r="BU21" s="54">
        <v>5000</v>
      </c>
      <c r="BV21" s="58"/>
      <c r="BW21" s="58">
        <f t="shared" ref="BW21:BW83" si="16">BU21-BK21</f>
        <v>-55000</v>
      </c>
      <c r="BX21" s="58"/>
      <c r="BY21" s="90" t="s">
        <v>204</v>
      </c>
      <c r="BZ21" s="66">
        <v>6730.5</v>
      </c>
      <c r="CA21" s="66"/>
      <c r="CB21" s="54">
        <v>10000</v>
      </c>
      <c r="CC21" s="54"/>
      <c r="CD21" s="54">
        <v>10828.4</v>
      </c>
      <c r="CE21" s="54"/>
      <c r="CF21" s="54">
        <v>10000</v>
      </c>
      <c r="CG21" s="60"/>
      <c r="CH21" s="61">
        <f t="shared" si="4"/>
        <v>0</v>
      </c>
      <c r="CI21" s="200"/>
      <c r="CJ21" s="295" t="s">
        <v>204</v>
      </c>
      <c r="CK21" s="346">
        <f t="shared" si="5"/>
        <v>833.33333333333337</v>
      </c>
    </row>
    <row r="22" spans="1:89" s="7" customFormat="1" ht="12" customHeight="1" x14ac:dyDescent="0.2">
      <c r="A22" s="6"/>
      <c r="B22" s="27"/>
      <c r="C22" s="28"/>
      <c r="D22" s="28" t="s">
        <v>73</v>
      </c>
      <c r="E22" s="29"/>
      <c r="F22" s="28"/>
      <c r="G22" s="30">
        <v>1899.07</v>
      </c>
      <c r="H22" s="31"/>
      <c r="I22" s="30">
        <v>1875</v>
      </c>
      <c r="J22" s="31"/>
      <c r="K22" s="30">
        <f t="shared" ref="K22:K25" si="17">ROUND((G22-I22),5)</f>
        <v>24.07</v>
      </c>
      <c r="L22" s="31"/>
      <c r="M22" s="32">
        <f t="shared" ref="M22:M25" si="18">ROUND(IF(I22=0, IF(G22=0, 0, 1), G22/I22),5)</f>
        <v>1.01284</v>
      </c>
      <c r="N22" s="31"/>
      <c r="O22" s="30">
        <v>99.95</v>
      </c>
      <c r="P22" s="31"/>
      <c r="Q22" s="30">
        <v>1875</v>
      </c>
      <c r="R22" s="31"/>
      <c r="S22" s="30">
        <f t="shared" ref="S22:S25" si="19">ROUND((O22-Q22),5)</f>
        <v>-1775.05</v>
      </c>
      <c r="T22" s="31"/>
      <c r="U22" s="32">
        <f t="shared" ref="U22:U25" si="20">ROUND(IF(Q22=0, IF(O22=0, 0, 1), O22/Q22),5)</f>
        <v>5.3310000000000003E-2</v>
      </c>
      <c r="V22" s="31"/>
      <c r="W22" s="33">
        <v>3570.61</v>
      </c>
      <c r="X22" s="33"/>
      <c r="Y22" s="33">
        <v>1875</v>
      </c>
      <c r="Z22" s="33"/>
      <c r="AA22" s="33">
        <f t="shared" ref="AA22:AA25" si="21">ROUND((W22-Y22),5)</f>
        <v>1695.61</v>
      </c>
      <c r="AB22" s="33"/>
      <c r="AC22" s="33"/>
      <c r="AD22" s="34">
        <v>21500</v>
      </c>
      <c r="AE22" s="34"/>
      <c r="AF22" s="49">
        <v>22195.11</v>
      </c>
      <c r="AG22" s="50"/>
      <c r="AH22" s="51">
        <v>15000</v>
      </c>
      <c r="AI22" s="51"/>
      <c r="AJ22" s="51">
        <v>22168.43</v>
      </c>
      <c r="AK22" s="51"/>
      <c r="AL22" s="51">
        <v>25000</v>
      </c>
      <c r="AM22" s="51"/>
      <c r="AN22" s="51">
        <v>21828.68</v>
      </c>
      <c r="AO22" s="51"/>
      <c r="AP22" s="51">
        <v>11116.94</v>
      </c>
      <c r="AQ22" s="51"/>
      <c r="AR22" s="51">
        <f>ROUND(I22+Q22+Y22,5)</f>
        <v>5625</v>
      </c>
      <c r="AS22" s="51">
        <f t="shared" si="14"/>
        <v>22233.88</v>
      </c>
      <c r="AT22" s="51"/>
      <c r="AU22" s="65"/>
      <c r="AV22" s="54">
        <v>20000</v>
      </c>
      <c r="AW22" s="55"/>
      <c r="AX22" s="56">
        <f t="shared" ref="AX22:AX24" si="22">AN22-AL22</f>
        <v>-3171.3199999999997</v>
      </c>
      <c r="AY22" s="56"/>
      <c r="AZ22" s="54">
        <v>10157.950000000001</v>
      </c>
      <c r="BA22" s="54"/>
      <c r="BB22" s="54"/>
      <c r="BC22" s="60"/>
      <c r="BD22" s="54">
        <v>20364.66</v>
      </c>
      <c r="BE22" s="54"/>
      <c r="BF22" s="54"/>
      <c r="BG22" s="54">
        <v>20000</v>
      </c>
      <c r="BH22" s="54"/>
      <c r="BI22" s="57">
        <v>30311.95</v>
      </c>
      <c r="BJ22" s="54"/>
      <c r="BK22" s="54">
        <v>44684.23</v>
      </c>
      <c r="BL22" s="54"/>
      <c r="BM22" s="58">
        <f t="shared" si="15"/>
        <v>24684.230000000003</v>
      </c>
      <c r="BN22" s="58"/>
      <c r="BO22" s="66">
        <v>20551.13</v>
      </c>
      <c r="BP22" s="66"/>
      <c r="BQ22" s="66">
        <v>42331.78</v>
      </c>
      <c r="BR22" s="66"/>
      <c r="BS22" s="66">
        <f t="shared" si="1"/>
        <v>-2352.4500000000044</v>
      </c>
      <c r="BT22" s="58"/>
      <c r="BU22" s="54">
        <v>20000</v>
      </c>
      <c r="BV22" s="58"/>
      <c r="BW22" s="58">
        <f t="shared" si="16"/>
        <v>-24684.230000000003</v>
      </c>
      <c r="BX22" s="58"/>
      <c r="BY22" s="90" t="s">
        <v>204</v>
      </c>
      <c r="BZ22" s="66">
        <v>54706.65</v>
      </c>
      <c r="CA22" s="66"/>
      <c r="CB22" s="54">
        <v>45000</v>
      </c>
      <c r="CC22" s="54"/>
      <c r="CD22" s="54">
        <f>(20712.54/5)*12</f>
        <v>49710.095999999998</v>
      </c>
      <c r="CE22" s="54"/>
      <c r="CF22" s="54">
        <v>45000</v>
      </c>
      <c r="CG22" s="60"/>
      <c r="CH22" s="61">
        <f t="shared" si="4"/>
        <v>0</v>
      </c>
      <c r="CI22" s="200"/>
      <c r="CJ22" s="295" t="s">
        <v>204</v>
      </c>
      <c r="CK22" s="346">
        <f t="shared" si="5"/>
        <v>3750</v>
      </c>
    </row>
    <row r="23" spans="1:89" ht="15" customHeight="1" x14ac:dyDescent="0.2">
      <c r="A23" s="4"/>
      <c r="B23" s="27"/>
      <c r="C23" s="356" t="s">
        <v>21</v>
      </c>
      <c r="D23" s="356"/>
      <c r="E23" s="356"/>
      <c r="F23" s="356"/>
      <c r="G23" s="30">
        <v>596.29</v>
      </c>
      <c r="H23" s="31"/>
      <c r="I23" s="30">
        <v>666.63</v>
      </c>
      <c r="J23" s="31"/>
      <c r="K23" s="30">
        <f>ROUND((G23-I23),5)</f>
        <v>-70.34</v>
      </c>
      <c r="L23" s="31"/>
      <c r="M23" s="32">
        <f>ROUND(IF(I23=0, IF(G23=0, 0, 1), G23/I23),5)</f>
        <v>0.89448000000000005</v>
      </c>
      <c r="N23" s="31"/>
      <c r="O23" s="30">
        <v>607.41</v>
      </c>
      <c r="P23" s="31"/>
      <c r="Q23" s="30">
        <v>666.67</v>
      </c>
      <c r="R23" s="31"/>
      <c r="S23" s="30">
        <f>ROUND((O23-Q23),5)</f>
        <v>-59.26</v>
      </c>
      <c r="T23" s="31"/>
      <c r="U23" s="32">
        <f>ROUND(IF(Q23=0, IF(O23=0, 0, 1), O23/Q23),5)</f>
        <v>0.91110999999999998</v>
      </c>
      <c r="V23" s="31"/>
      <c r="W23" s="33">
        <v>823.88</v>
      </c>
      <c r="X23" s="33"/>
      <c r="Y23" s="33">
        <v>666.67</v>
      </c>
      <c r="Z23" s="33"/>
      <c r="AA23" s="33">
        <f>ROUND((W23-Y23),5)</f>
        <v>157.21</v>
      </c>
      <c r="AB23" s="33"/>
      <c r="AC23" s="33"/>
      <c r="AD23" s="34"/>
      <c r="AE23" s="34"/>
      <c r="AF23" s="49"/>
      <c r="AG23" s="50"/>
      <c r="AH23" s="51"/>
      <c r="AI23" s="51"/>
      <c r="AJ23" s="51">
        <v>7829.89</v>
      </c>
      <c r="AK23" s="51"/>
      <c r="AL23" s="51">
        <v>8000</v>
      </c>
      <c r="AM23" s="51"/>
      <c r="AN23" s="51">
        <v>8830.6299999999992</v>
      </c>
      <c r="AO23" s="51"/>
      <c r="AP23" s="51">
        <v>4389.2299999999996</v>
      </c>
      <c r="AQ23" s="51"/>
      <c r="AR23" s="51">
        <f>ROUND(I23+Q23+Y23,5)</f>
        <v>1999.97</v>
      </c>
      <c r="AS23" s="51">
        <f>AP23*2</f>
        <v>8778.4599999999991</v>
      </c>
      <c r="AT23" s="51"/>
      <c r="AU23" s="65"/>
      <c r="AV23" s="54">
        <v>8800</v>
      </c>
      <c r="AW23" s="55"/>
      <c r="AX23" s="56">
        <f>AN23-AL23</f>
        <v>830.6299999999992</v>
      </c>
      <c r="AY23" s="88"/>
      <c r="AZ23" s="89">
        <v>4414.29</v>
      </c>
      <c r="BA23" s="54"/>
      <c r="BB23" s="82"/>
      <c r="BC23" s="60"/>
      <c r="BD23" s="54">
        <v>11142.7</v>
      </c>
      <c r="BE23" s="54"/>
      <c r="BF23" s="54"/>
      <c r="BG23" s="54">
        <v>8800</v>
      </c>
      <c r="BH23" s="54"/>
      <c r="BI23" s="57">
        <v>11973.11</v>
      </c>
      <c r="BJ23" s="54"/>
      <c r="BK23" s="54">
        <v>15000</v>
      </c>
      <c r="BL23" s="54"/>
      <c r="BM23" s="58">
        <f>BK23-BG23</f>
        <v>6200</v>
      </c>
      <c r="BN23" s="58"/>
      <c r="BO23" s="66">
        <v>26848.77</v>
      </c>
      <c r="BP23" s="66"/>
      <c r="BQ23" s="66">
        <f>487.85+14365.8</f>
        <v>14853.65</v>
      </c>
      <c r="BR23" s="66"/>
      <c r="BS23" s="66">
        <f t="shared" si="1"/>
        <v>-146.35000000000036</v>
      </c>
      <c r="BT23" s="58"/>
      <c r="BU23" s="54">
        <v>12500</v>
      </c>
      <c r="BV23" s="58"/>
      <c r="BW23" s="58">
        <f t="shared" si="16"/>
        <v>-2500</v>
      </c>
      <c r="BX23" s="58"/>
      <c r="BY23" s="91" t="s">
        <v>249</v>
      </c>
      <c r="BZ23" s="66">
        <v>16096.35</v>
      </c>
      <c r="CA23" s="66"/>
      <c r="CB23" s="54">
        <v>12500</v>
      </c>
      <c r="CC23" s="54"/>
      <c r="CD23" s="54">
        <f>(6535.19/5)*12</f>
        <v>15684.456</v>
      </c>
      <c r="CE23" s="54"/>
      <c r="CF23" s="54">
        <v>15000</v>
      </c>
      <c r="CG23" s="60"/>
      <c r="CH23" s="61">
        <f t="shared" si="4"/>
        <v>2500</v>
      </c>
      <c r="CI23" s="200"/>
      <c r="CJ23" s="301" t="s">
        <v>250</v>
      </c>
      <c r="CK23" s="346">
        <f t="shared" si="5"/>
        <v>1250</v>
      </c>
    </row>
    <row r="24" spans="1:89" s="7" customFormat="1" ht="14.25" customHeight="1" thickBot="1" x14ac:dyDescent="0.25">
      <c r="A24" s="6"/>
      <c r="B24" s="27"/>
      <c r="C24" s="28"/>
      <c r="D24" s="351" t="s">
        <v>230</v>
      </c>
      <c r="E24" s="351"/>
      <c r="F24" s="351"/>
      <c r="G24" s="119">
        <v>3351.85</v>
      </c>
      <c r="H24" s="120"/>
      <c r="I24" s="119">
        <v>1250</v>
      </c>
      <c r="J24" s="120"/>
      <c r="K24" s="119">
        <f t="shared" si="17"/>
        <v>2101.85</v>
      </c>
      <c r="L24" s="120"/>
      <c r="M24" s="121">
        <f t="shared" si="18"/>
        <v>2.6814800000000001</v>
      </c>
      <c r="N24" s="120"/>
      <c r="O24" s="119">
        <v>840</v>
      </c>
      <c r="P24" s="120"/>
      <c r="Q24" s="119">
        <v>1250</v>
      </c>
      <c r="R24" s="120"/>
      <c r="S24" s="119">
        <f t="shared" si="19"/>
        <v>-410</v>
      </c>
      <c r="T24" s="120"/>
      <c r="U24" s="121">
        <f t="shared" si="20"/>
        <v>0.67200000000000004</v>
      </c>
      <c r="V24" s="120"/>
      <c r="W24" s="34">
        <v>2241.81</v>
      </c>
      <c r="X24" s="34"/>
      <c r="Y24" s="34">
        <v>1250</v>
      </c>
      <c r="Z24" s="34"/>
      <c r="AA24" s="34">
        <f t="shared" si="21"/>
        <v>991.81</v>
      </c>
      <c r="AB24" s="34"/>
      <c r="AC24" s="34"/>
      <c r="AD24" s="34"/>
      <c r="AE24" s="34"/>
      <c r="AF24" s="71"/>
      <c r="AG24" s="72"/>
      <c r="AH24" s="93">
        <v>15000</v>
      </c>
      <c r="AI24" s="93"/>
      <c r="AJ24" s="93">
        <v>43230.98</v>
      </c>
      <c r="AK24" s="93"/>
      <c r="AL24" s="93">
        <v>15000</v>
      </c>
      <c r="AM24" s="93"/>
      <c r="AN24" s="93">
        <v>28348.5</v>
      </c>
      <c r="AO24" s="93"/>
      <c r="AP24" s="93">
        <v>15314.9</v>
      </c>
      <c r="AQ24" s="93"/>
      <c r="AR24" s="93">
        <f>ROUND(I24+Q24+Y24,5)</f>
        <v>3750</v>
      </c>
      <c r="AS24" s="93">
        <f t="shared" si="14"/>
        <v>30629.8</v>
      </c>
      <c r="AT24" s="93"/>
      <c r="AU24" s="122"/>
      <c r="AV24" s="93">
        <v>15000</v>
      </c>
      <c r="AW24" s="94"/>
      <c r="AX24" s="95">
        <f t="shared" si="22"/>
        <v>13348.5</v>
      </c>
      <c r="AY24" s="95"/>
      <c r="AZ24" s="93">
        <v>20570.93</v>
      </c>
      <c r="BA24" s="93"/>
      <c r="BB24" s="93"/>
      <c r="BC24" s="99"/>
      <c r="BD24" s="93">
        <f>39212.14-66.55</f>
        <v>39145.589999999997</v>
      </c>
      <c r="BE24" s="93"/>
      <c r="BF24" s="93"/>
      <c r="BG24" s="93">
        <v>15000</v>
      </c>
      <c r="BH24" s="93"/>
      <c r="BI24" s="100">
        <f>69731.13+73.99</f>
        <v>69805.12000000001</v>
      </c>
      <c r="BJ24" s="93"/>
      <c r="BK24" s="93">
        <v>82500</v>
      </c>
      <c r="BL24" s="93"/>
      <c r="BM24" s="101">
        <f t="shared" si="15"/>
        <v>67500</v>
      </c>
      <c r="BN24" s="101"/>
      <c r="BO24" s="102">
        <v>54358.69</v>
      </c>
      <c r="BP24" s="102"/>
      <c r="BQ24" s="102">
        <v>45803.58</v>
      </c>
      <c r="BR24" s="102"/>
      <c r="BS24" s="102">
        <f t="shared" si="1"/>
        <v>-36696.42</v>
      </c>
      <c r="BT24" s="101"/>
      <c r="BU24" s="93">
        <v>82500</v>
      </c>
      <c r="BV24" s="101"/>
      <c r="BW24" s="101">
        <f t="shared" si="16"/>
        <v>0</v>
      </c>
      <c r="BX24" s="58"/>
      <c r="BY24" s="91" t="s">
        <v>251</v>
      </c>
      <c r="BZ24" s="102">
        <v>58862.81</v>
      </c>
      <c r="CA24" s="102"/>
      <c r="CB24" s="93">
        <v>82500</v>
      </c>
      <c r="CC24" s="93"/>
      <c r="CD24" s="93">
        <f>(31625.89/5)*12</f>
        <v>75902.135999999999</v>
      </c>
      <c r="CE24" s="93"/>
      <c r="CF24" s="93">
        <v>82500</v>
      </c>
      <c r="CG24" s="123"/>
      <c r="CH24" s="61">
        <f t="shared" si="4"/>
        <v>0</v>
      </c>
      <c r="CI24" s="224"/>
      <c r="CJ24" s="302"/>
      <c r="CK24" s="346">
        <f t="shared" si="5"/>
        <v>6875</v>
      </c>
    </row>
    <row r="25" spans="1:89" s="7" customFormat="1" ht="13.5" customHeight="1" thickBot="1" x14ac:dyDescent="0.25">
      <c r="A25" s="6"/>
      <c r="B25" s="124"/>
      <c r="C25" s="28" t="s">
        <v>181</v>
      </c>
      <c r="D25" s="28"/>
      <c r="E25" s="29"/>
      <c r="F25" s="28"/>
      <c r="G25" s="30">
        <f>ROUND(SUM(G22:G24),5)</f>
        <v>5847.21</v>
      </c>
      <c r="H25" s="31"/>
      <c r="I25" s="30">
        <f>ROUND(SUM(I22:I24),5)</f>
        <v>3791.63</v>
      </c>
      <c r="J25" s="31"/>
      <c r="K25" s="30">
        <f t="shared" si="17"/>
        <v>2055.58</v>
      </c>
      <c r="L25" s="31"/>
      <c r="M25" s="32">
        <f t="shared" si="18"/>
        <v>1.5421400000000001</v>
      </c>
      <c r="N25" s="31"/>
      <c r="O25" s="30">
        <f>ROUND(SUM(O22:O24),5)</f>
        <v>1547.36</v>
      </c>
      <c r="P25" s="31"/>
      <c r="Q25" s="30">
        <f>ROUND(SUM(Q22:Q24),5)</f>
        <v>3791.67</v>
      </c>
      <c r="R25" s="31"/>
      <c r="S25" s="30">
        <f t="shared" si="19"/>
        <v>-2244.31</v>
      </c>
      <c r="T25" s="31"/>
      <c r="U25" s="32">
        <f t="shared" si="20"/>
        <v>0.40809000000000001</v>
      </c>
      <c r="V25" s="31"/>
      <c r="W25" s="76">
        <f>SUM(W22:W24)</f>
        <v>6636.2999999999993</v>
      </c>
      <c r="X25" s="76"/>
      <c r="Y25" s="76">
        <f>SUM(Y22:Y24)</f>
        <v>3791.67</v>
      </c>
      <c r="Z25" s="76"/>
      <c r="AA25" s="76">
        <f t="shared" si="21"/>
        <v>2844.63</v>
      </c>
      <c r="AB25" s="76"/>
      <c r="AC25" s="76"/>
      <c r="AD25" s="77">
        <f>SUM(AD22:AD24)</f>
        <v>21500</v>
      </c>
      <c r="AE25" s="77"/>
      <c r="AF25" s="39">
        <f>SUM(AF22:AF24)</f>
        <v>22195.11</v>
      </c>
      <c r="AG25" s="40"/>
      <c r="AH25" s="41">
        <f>SUM(AH22:AH24)</f>
        <v>30000</v>
      </c>
      <c r="AI25" s="41"/>
      <c r="AJ25" s="41">
        <v>95800.73000000001</v>
      </c>
      <c r="AK25" s="41"/>
      <c r="AL25" s="41">
        <f>SUM(AL22:AL24)</f>
        <v>48000</v>
      </c>
      <c r="AM25" s="41"/>
      <c r="AN25" s="41">
        <f t="shared" ref="AN25:BM25" si="23">SUM(AN22:AN24)</f>
        <v>59007.81</v>
      </c>
      <c r="AO25" s="41">
        <f t="shared" si="23"/>
        <v>0</v>
      </c>
      <c r="AP25" s="41">
        <f t="shared" si="23"/>
        <v>30821.07</v>
      </c>
      <c r="AQ25" s="41">
        <f t="shared" si="23"/>
        <v>0</v>
      </c>
      <c r="AR25" s="41">
        <f t="shared" si="23"/>
        <v>11374.970000000001</v>
      </c>
      <c r="AS25" s="41">
        <f t="shared" si="23"/>
        <v>61642.14</v>
      </c>
      <c r="AT25" s="41">
        <f t="shared" si="23"/>
        <v>0</v>
      </c>
      <c r="AU25" s="41">
        <f t="shared" si="23"/>
        <v>0</v>
      </c>
      <c r="AV25" s="79">
        <f t="shared" si="23"/>
        <v>43800</v>
      </c>
      <c r="AW25" s="79">
        <f t="shared" si="23"/>
        <v>0</v>
      </c>
      <c r="AX25" s="79">
        <f t="shared" si="23"/>
        <v>11007.81</v>
      </c>
      <c r="AY25" s="79">
        <f t="shared" si="23"/>
        <v>0</v>
      </c>
      <c r="AZ25" s="79">
        <f t="shared" si="23"/>
        <v>35143.17</v>
      </c>
      <c r="BA25" s="79">
        <f t="shared" si="23"/>
        <v>0</v>
      </c>
      <c r="BB25" s="79">
        <f t="shared" si="23"/>
        <v>0</v>
      </c>
      <c r="BC25" s="83">
        <f t="shared" si="23"/>
        <v>0</v>
      </c>
      <c r="BD25" s="79">
        <f t="shared" si="23"/>
        <v>70652.95</v>
      </c>
      <c r="BE25" s="79">
        <f t="shared" si="23"/>
        <v>0</v>
      </c>
      <c r="BF25" s="79">
        <f t="shared" si="23"/>
        <v>0</v>
      </c>
      <c r="BG25" s="79">
        <f t="shared" si="23"/>
        <v>43800</v>
      </c>
      <c r="BH25" s="79">
        <f t="shared" si="23"/>
        <v>0</v>
      </c>
      <c r="BI25" s="79">
        <f t="shared" si="23"/>
        <v>112090.18000000001</v>
      </c>
      <c r="BJ25" s="79">
        <f t="shared" si="23"/>
        <v>0</v>
      </c>
      <c r="BK25" s="79">
        <f t="shared" si="23"/>
        <v>142184.23000000001</v>
      </c>
      <c r="BL25" s="79">
        <f t="shared" si="23"/>
        <v>0</v>
      </c>
      <c r="BM25" s="79">
        <f t="shared" si="23"/>
        <v>98384.23000000001</v>
      </c>
      <c r="BN25" s="84"/>
      <c r="BO25" s="85">
        <f>SUM(BO22:BO24)</f>
        <v>101758.59</v>
      </c>
      <c r="BP25" s="85"/>
      <c r="BQ25" s="85">
        <f>+BQ22+BQ23+BQ24</f>
        <v>102989.01000000001</v>
      </c>
      <c r="BR25" s="85"/>
      <c r="BS25" s="85">
        <f t="shared" si="1"/>
        <v>-39195.22</v>
      </c>
      <c r="BT25" s="84"/>
      <c r="BU25" s="79">
        <f>SUM(BU22:BU24)</f>
        <v>115000</v>
      </c>
      <c r="BV25" s="84"/>
      <c r="BW25" s="84">
        <f t="shared" si="16"/>
        <v>-27184.23000000001</v>
      </c>
      <c r="BX25" s="58"/>
      <c r="BY25" s="91"/>
      <c r="BZ25" s="85">
        <f>SUM(BZ22:BZ24)</f>
        <v>129665.81</v>
      </c>
      <c r="CA25" s="85"/>
      <c r="CB25" s="79">
        <f>SUM(CB22:CB24)</f>
        <v>140000</v>
      </c>
      <c r="CC25" s="79"/>
      <c r="CD25" s="54">
        <v>133246.01999999999</v>
      </c>
      <c r="CE25" s="79"/>
      <c r="CF25" s="79">
        <f>SUM(CF22:CF24)</f>
        <v>142500</v>
      </c>
      <c r="CG25" s="83"/>
      <c r="CH25" s="61">
        <f t="shared" si="4"/>
        <v>2500</v>
      </c>
      <c r="CI25" s="199"/>
      <c r="CJ25" s="303" t="s">
        <v>204</v>
      </c>
      <c r="CK25" s="346">
        <f t="shared" si="5"/>
        <v>11875</v>
      </c>
    </row>
    <row r="26" spans="1:89" s="7" customFormat="1" ht="14.25" customHeight="1" x14ac:dyDescent="0.2">
      <c r="A26" s="6"/>
      <c r="B26" s="125" t="s">
        <v>182</v>
      </c>
      <c r="C26" s="126"/>
      <c r="D26" s="28"/>
      <c r="E26" s="29"/>
      <c r="F26" s="28"/>
      <c r="G26" s="30"/>
      <c r="H26" s="31"/>
      <c r="I26" s="30"/>
      <c r="J26" s="31"/>
      <c r="K26" s="30"/>
      <c r="L26" s="31"/>
      <c r="M26" s="32"/>
      <c r="N26" s="31"/>
      <c r="O26" s="30"/>
      <c r="P26" s="31"/>
      <c r="Q26" s="30"/>
      <c r="R26" s="31"/>
      <c r="S26" s="30"/>
      <c r="T26" s="31"/>
      <c r="U26" s="32"/>
      <c r="V26" s="31"/>
      <c r="W26" s="33"/>
      <c r="X26" s="33"/>
      <c r="Y26" s="33"/>
      <c r="Z26" s="33"/>
      <c r="AA26" s="33"/>
      <c r="AB26" s="33"/>
      <c r="AC26" s="33"/>
      <c r="AD26" s="34"/>
      <c r="AE26" s="34"/>
      <c r="AF26" s="39"/>
      <c r="AG26" s="40"/>
      <c r="AH26" s="41"/>
      <c r="AI26" s="41"/>
      <c r="AJ26" s="41"/>
      <c r="AK26" s="41"/>
      <c r="AL26" s="41"/>
      <c r="AM26" s="41"/>
      <c r="AN26" s="41"/>
      <c r="AO26" s="41"/>
      <c r="AP26" s="41"/>
      <c r="AQ26" s="41"/>
      <c r="AR26" s="41"/>
      <c r="AS26" s="41"/>
      <c r="AT26" s="41"/>
      <c r="AU26" s="42"/>
      <c r="AV26" s="79"/>
      <c r="AW26" s="80"/>
      <c r="AX26" s="81"/>
      <c r="AY26" s="81"/>
      <c r="AZ26" s="79"/>
      <c r="BA26" s="79"/>
      <c r="BB26" s="79"/>
      <c r="BC26" s="83"/>
      <c r="BD26" s="54"/>
      <c r="BE26" s="54"/>
      <c r="BF26" s="54"/>
      <c r="BG26" s="54"/>
      <c r="BH26" s="54"/>
      <c r="BI26" s="57"/>
      <c r="BJ26" s="54"/>
      <c r="BK26" s="54">
        <v>500</v>
      </c>
      <c r="BL26" s="54"/>
      <c r="BM26" s="58">
        <f>BK26-BG26</f>
        <v>500</v>
      </c>
      <c r="BN26" s="58"/>
      <c r="BO26" s="66">
        <v>413.47</v>
      </c>
      <c r="BP26" s="66"/>
      <c r="BQ26" s="66">
        <v>463.24</v>
      </c>
      <c r="BR26" s="66"/>
      <c r="BS26" s="66">
        <f t="shared" si="1"/>
        <v>-36.759999999999991</v>
      </c>
      <c r="BT26" s="58"/>
      <c r="BU26" s="54">
        <v>7500</v>
      </c>
      <c r="BV26" s="58"/>
      <c r="BW26" s="58">
        <f t="shared" si="16"/>
        <v>7000</v>
      </c>
      <c r="BX26" s="58"/>
      <c r="BY26" s="90" t="s">
        <v>204</v>
      </c>
      <c r="BZ26" s="66">
        <v>211.17</v>
      </c>
      <c r="CA26" s="66"/>
      <c r="CB26" s="54">
        <v>7500</v>
      </c>
      <c r="CC26" s="54"/>
      <c r="CD26" s="54">
        <v>7500</v>
      </c>
      <c r="CE26" s="54"/>
      <c r="CF26" s="54">
        <v>7500</v>
      </c>
      <c r="CG26" s="60"/>
      <c r="CH26" s="61">
        <f t="shared" si="4"/>
        <v>0</v>
      </c>
      <c r="CI26" s="200"/>
      <c r="CJ26" s="295" t="s">
        <v>204</v>
      </c>
      <c r="CK26" s="346">
        <f t="shared" si="5"/>
        <v>625</v>
      </c>
    </row>
    <row r="27" spans="1:89" ht="12" customHeight="1" x14ac:dyDescent="0.2">
      <c r="A27" s="4"/>
      <c r="B27" s="125"/>
      <c r="C27" s="325" t="s">
        <v>61</v>
      </c>
      <c r="D27" s="28"/>
      <c r="E27" s="29"/>
      <c r="F27" s="28"/>
      <c r="G27" s="30">
        <v>32.31</v>
      </c>
      <c r="H27" s="31"/>
      <c r="I27" s="30"/>
      <c r="J27" s="31"/>
      <c r="K27" s="30"/>
      <c r="L27" s="31"/>
      <c r="M27" s="32"/>
      <c r="N27" s="31"/>
      <c r="O27" s="30">
        <v>198.83</v>
      </c>
      <c r="P27" s="31"/>
      <c r="Q27" s="30"/>
      <c r="R27" s="31"/>
      <c r="S27" s="30"/>
      <c r="T27" s="31"/>
      <c r="U27" s="32"/>
      <c r="V27" s="31"/>
      <c r="W27" s="33">
        <v>0</v>
      </c>
      <c r="X27" s="33"/>
      <c r="Y27" s="33"/>
      <c r="Z27" s="33"/>
      <c r="AA27" s="33"/>
      <c r="AB27" s="33"/>
      <c r="AC27" s="33"/>
      <c r="AD27" s="34">
        <v>20000</v>
      </c>
      <c r="AE27" s="34"/>
      <c r="AF27" s="49">
        <v>19819.740000000002</v>
      </c>
      <c r="AG27" s="50"/>
      <c r="AH27" s="51">
        <v>20000</v>
      </c>
      <c r="AI27" s="51"/>
      <c r="AJ27" s="51">
        <v>15898.26</v>
      </c>
      <c r="AK27" s="51"/>
      <c r="AL27" s="51">
        <v>20000</v>
      </c>
      <c r="AM27" s="51"/>
      <c r="AN27" s="51">
        <v>21779.23</v>
      </c>
      <c r="AO27" s="51"/>
      <c r="AP27" s="51">
        <f>ROUND(G27+O27+W27,5)</f>
        <v>231.14</v>
      </c>
      <c r="AQ27" s="51"/>
      <c r="AR27" s="51"/>
      <c r="AS27" s="51">
        <f>AP27*2</f>
        <v>462.28</v>
      </c>
      <c r="AT27" s="51"/>
      <c r="AU27" s="127"/>
      <c r="AV27" s="54">
        <v>20000</v>
      </c>
      <c r="AW27" s="55"/>
      <c r="AX27" s="56">
        <f>AN27-AL27</f>
        <v>1779.2299999999996</v>
      </c>
      <c r="AY27" s="88"/>
      <c r="AZ27" s="89">
        <v>649.89</v>
      </c>
      <c r="BA27" s="54"/>
      <c r="BB27" s="114"/>
      <c r="BC27" s="60"/>
      <c r="BD27" s="54">
        <v>23169.46</v>
      </c>
      <c r="BE27" s="54"/>
      <c r="BF27" s="54"/>
      <c r="BG27" s="54">
        <v>20000</v>
      </c>
      <c r="BH27" s="54"/>
      <c r="BI27" s="57">
        <v>27805.33</v>
      </c>
      <c r="BJ27" s="54"/>
      <c r="BK27" s="54">
        <v>20000</v>
      </c>
      <c r="BL27" s="54"/>
      <c r="BM27" s="58">
        <f>BK27-BG27</f>
        <v>0</v>
      </c>
      <c r="BN27" s="58"/>
      <c r="BO27" s="66">
        <v>1616</v>
      </c>
      <c r="BP27" s="66"/>
      <c r="BQ27" s="66">
        <v>26763.7</v>
      </c>
      <c r="BR27" s="66"/>
      <c r="BS27" s="66">
        <f t="shared" si="1"/>
        <v>6763.7000000000007</v>
      </c>
      <c r="BT27" s="58"/>
      <c r="BU27" s="54">
        <v>20000</v>
      </c>
      <c r="BV27" s="58"/>
      <c r="BW27" s="58">
        <f t="shared" si="16"/>
        <v>0</v>
      </c>
      <c r="BX27" s="58"/>
      <c r="BY27" s="91" t="s">
        <v>252</v>
      </c>
      <c r="BZ27" s="66">
        <v>22424.09</v>
      </c>
      <c r="CA27" s="66"/>
      <c r="CB27" s="54">
        <v>27000</v>
      </c>
      <c r="CC27" s="54"/>
      <c r="CD27" s="54">
        <v>27000</v>
      </c>
      <c r="CE27" s="54"/>
      <c r="CF27" s="54">
        <v>27000</v>
      </c>
      <c r="CG27" s="60"/>
      <c r="CH27" s="61">
        <f t="shared" si="4"/>
        <v>0</v>
      </c>
      <c r="CI27" s="200"/>
      <c r="CJ27" s="295" t="s">
        <v>204</v>
      </c>
      <c r="CK27" s="346">
        <f t="shared" si="5"/>
        <v>2250</v>
      </c>
    </row>
    <row r="28" spans="1:89" ht="15" customHeight="1" thickBot="1" x14ac:dyDescent="0.25">
      <c r="A28" s="4"/>
      <c r="B28" s="125"/>
      <c r="C28" s="325" t="s">
        <v>155</v>
      </c>
      <c r="D28" s="64"/>
      <c r="E28" s="64"/>
      <c r="F28" s="63"/>
      <c r="G28" s="30"/>
      <c r="H28" s="31"/>
      <c r="I28" s="30"/>
      <c r="J28" s="31"/>
      <c r="K28" s="30"/>
      <c r="L28" s="31"/>
      <c r="M28" s="32"/>
      <c r="N28" s="31"/>
      <c r="O28" s="30"/>
      <c r="P28" s="31"/>
      <c r="Q28" s="30"/>
      <c r="R28" s="31"/>
      <c r="S28" s="30"/>
      <c r="T28" s="31"/>
      <c r="U28" s="32"/>
      <c r="V28" s="31"/>
      <c r="W28" s="33"/>
      <c r="X28" s="33"/>
      <c r="Y28" s="33"/>
      <c r="Z28" s="33"/>
      <c r="AA28" s="33"/>
      <c r="AB28" s="33"/>
      <c r="AC28" s="33"/>
      <c r="AD28" s="34"/>
      <c r="AE28" s="34"/>
      <c r="AF28" s="49"/>
      <c r="AG28" s="50"/>
      <c r="AH28" s="51"/>
      <c r="AI28" s="51"/>
      <c r="AJ28" s="51"/>
      <c r="AK28" s="51"/>
      <c r="AL28" s="73"/>
      <c r="AM28" s="73"/>
      <c r="AN28" s="73"/>
      <c r="AO28" s="73"/>
      <c r="AP28" s="73"/>
      <c r="AQ28" s="73"/>
      <c r="AR28" s="73"/>
      <c r="AS28" s="73"/>
      <c r="AT28" s="73"/>
      <c r="AU28" s="116"/>
      <c r="AV28" s="93">
        <v>3500</v>
      </c>
      <c r="AW28" s="94"/>
      <c r="AX28" s="95"/>
      <c r="AY28" s="96"/>
      <c r="AZ28" s="97">
        <v>0</v>
      </c>
      <c r="BA28" s="93"/>
      <c r="BB28" s="117"/>
      <c r="BC28" s="99"/>
      <c r="BD28" s="93">
        <v>1859.76</v>
      </c>
      <c r="BE28" s="93"/>
      <c r="BF28" s="93"/>
      <c r="BG28" s="93">
        <v>3500</v>
      </c>
      <c r="BH28" s="93"/>
      <c r="BI28" s="100">
        <f>173.22+3015</f>
        <v>3188.22</v>
      </c>
      <c r="BJ28" s="93"/>
      <c r="BK28" s="93">
        <v>500</v>
      </c>
      <c r="BL28" s="93"/>
      <c r="BM28" s="101">
        <f>BK28-BG28</f>
        <v>-3000</v>
      </c>
      <c r="BN28" s="101"/>
      <c r="BO28" s="102">
        <v>380.14</v>
      </c>
      <c r="BP28" s="102"/>
      <c r="BQ28" s="102">
        <v>1616</v>
      </c>
      <c r="BR28" s="102"/>
      <c r="BS28" s="102">
        <f t="shared" si="1"/>
        <v>1116</v>
      </c>
      <c r="BT28" s="101"/>
      <c r="BU28" s="93">
        <v>3500</v>
      </c>
      <c r="BV28" s="58"/>
      <c r="BW28" s="101">
        <f t="shared" si="16"/>
        <v>3000</v>
      </c>
      <c r="BX28" s="58"/>
      <c r="BY28" s="91" t="s">
        <v>253</v>
      </c>
      <c r="BZ28" s="102">
        <v>7716.59</v>
      </c>
      <c r="CA28" s="102"/>
      <c r="CB28" s="93">
        <v>3500</v>
      </c>
      <c r="CC28" s="93"/>
      <c r="CD28" s="93">
        <v>3500</v>
      </c>
      <c r="CE28" s="93"/>
      <c r="CF28" s="93">
        <v>3500</v>
      </c>
      <c r="CG28" s="99"/>
      <c r="CH28" s="103">
        <f t="shared" si="4"/>
        <v>0</v>
      </c>
      <c r="CI28" s="129"/>
      <c r="CJ28" s="304" t="s">
        <v>204</v>
      </c>
      <c r="CK28" s="346">
        <f t="shared" si="5"/>
        <v>291.66666666666669</v>
      </c>
    </row>
    <row r="29" spans="1:89" ht="12" customHeight="1" x14ac:dyDescent="0.2">
      <c r="A29" s="4"/>
      <c r="B29" s="125" t="s">
        <v>183</v>
      </c>
      <c r="C29" s="126"/>
      <c r="D29" s="28"/>
      <c r="E29" s="29"/>
      <c r="F29" s="28"/>
      <c r="G29" s="30"/>
      <c r="H29" s="31"/>
      <c r="I29" s="30"/>
      <c r="J29" s="31"/>
      <c r="K29" s="30"/>
      <c r="L29" s="31"/>
      <c r="M29" s="32"/>
      <c r="N29" s="31"/>
      <c r="O29" s="30"/>
      <c r="P29" s="31"/>
      <c r="Q29" s="30"/>
      <c r="R29" s="31"/>
      <c r="S29" s="30"/>
      <c r="T29" s="31"/>
      <c r="U29" s="32"/>
      <c r="V29" s="31"/>
      <c r="W29" s="33"/>
      <c r="X29" s="33"/>
      <c r="Y29" s="33"/>
      <c r="Z29" s="33"/>
      <c r="AA29" s="33"/>
      <c r="AB29" s="33"/>
      <c r="AC29" s="33"/>
      <c r="AD29" s="34"/>
      <c r="AE29" s="34"/>
      <c r="AF29" s="49"/>
      <c r="AG29" s="50"/>
      <c r="AH29" s="51"/>
      <c r="AI29" s="51"/>
      <c r="AJ29" s="51"/>
      <c r="AK29" s="51"/>
      <c r="AL29" s="41">
        <f>AL26+AL27+AL28</f>
        <v>20000</v>
      </c>
      <c r="AM29" s="41"/>
      <c r="AN29" s="41">
        <f t="shared" ref="AN29:BL29" si="24">AN26+AN27+AN28</f>
        <v>21779.23</v>
      </c>
      <c r="AO29" s="41">
        <f t="shared" si="24"/>
        <v>0</v>
      </c>
      <c r="AP29" s="41">
        <f t="shared" si="24"/>
        <v>231.14</v>
      </c>
      <c r="AQ29" s="41">
        <f t="shared" si="24"/>
        <v>0</v>
      </c>
      <c r="AR29" s="41">
        <f t="shared" si="24"/>
        <v>0</v>
      </c>
      <c r="AS29" s="41">
        <f t="shared" si="24"/>
        <v>462.28</v>
      </c>
      <c r="AT29" s="41">
        <f t="shared" si="24"/>
        <v>0</v>
      </c>
      <c r="AU29" s="41">
        <f t="shared" si="24"/>
        <v>0</v>
      </c>
      <c r="AV29" s="79">
        <f t="shared" si="24"/>
        <v>23500</v>
      </c>
      <c r="AW29" s="79">
        <f t="shared" si="24"/>
        <v>0</v>
      </c>
      <c r="AX29" s="79">
        <f t="shared" si="24"/>
        <v>1779.2299999999996</v>
      </c>
      <c r="AY29" s="79">
        <f t="shared" si="24"/>
        <v>0</v>
      </c>
      <c r="AZ29" s="79">
        <f t="shared" si="24"/>
        <v>649.89</v>
      </c>
      <c r="BA29" s="79">
        <f t="shared" si="24"/>
        <v>0</v>
      </c>
      <c r="BB29" s="79">
        <f t="shared" si="24"/>
        <v>0</v>
      </c>
      <c r="BC29" s="83">
        <f t="shared" si="24"/>
        <v>0</v>
      </c>
      <c r="BD29" s="79">
        <f t="shared" si="24"/>
        <v>25029.219999999998</v>
      </c>
      <c r="BE29" s="79">
        <f t="shared" si="24"/>
        <v>0</v>
      </c>
      <c r="BF29" s="79">
        <f t="shared" si="24"/>
        <v>0</v>
      </c>
      <c r="BG29" s="79">
        <f t="shared" si="24"/>
        <v>23500</v>
      </c>
      <c r="BH29" s="79">
        <f t="shared" si="24"/>
        <v>0</v>
      </c>
      <c r="BI29" s="79">
        <f t="shared" si="24"/>
        <v>30993.550000000003</v>
      </c>
      <c r="BJ29" s="79">
        <f t="shared" si="24"/>
        <v>0</v>
      </c>
      <c r="BK29" s="79">
        <f t="shared" si="24"/>
        <v>21000</v>
      </c>
      <c r="BL29" s="79">
        <f t="shared" si="24"/>
        <v>0</v>
      </c>
      <c r="BM29" s="84">
        <f>BK29-BG29</f>
        <v>-2500</v>
      </c>
      <c r="BN29" s="84"/>
      <c r="BO29" s="85">
        <v>2409.61</v>
      </c>
      <c r="BP29" s="85"/>
      <c r="BQ29" s="85">
        <f t="shared" si="8"/>
        <v>4819.22</v>
      </c>
      <c r="BR29" s="85"/>
      <c r="BS29" s="85">
        <f t="shared" si="1"/>
        <v>-16180.779999999999</v>
      </c>
      <c r="BT29" s="84"/>
      <c r="BU29" s="79">
        <f>SUM(BU26:BU28)</f>
        <v>31000</v>
      </c>
      <c r="BV29" s="58"/>
      <c r="BW29" s="84">
        <f t="shared" si="16"/>
        <v>10000</v>
      </c>
      <c r="BX29" s="58"/>
      <c r="BY29" s="91"/>
      <c r="BZ29" s="79">
        <f>SUM(BZ26:BZ28)</f>
        <v>30351.85</v>
      </c>
      <c r="CA29" s="79"/>
      <c r="CB29" s="79">
        <f>SUM(CB26:CB28)</f>
        <v>38000</v>
      </c>
      <c r="CC29" s="79"/>
      <c r="CD29" s="79">
        <f>SUM(CD26:CD28)</f>
        <v>38000</v>
      </c>
      <c r="CE29" s="79"/>
      <c r="CF29" s="79">
        <f>SUM(CF26:CF28)</f>
        <v>38000</v>
      </c>
      <c r="CG29" s="83"/>
      <c r="CH29" s="112">
        <f t="shared" si="4"/>
        <v>0</v>
      </c>
      <c r="CI29" s="199"/>
      <c r="CJ29" s="299"/>
      <c r="CK29" s="346">
        <f t="shared" si="5"/>
        <v>3166.6666666666665</v>
      </c>
    </row>
    <row r="30" spans="1:89" ht="14.25" customHeight="1" x14ac:dyDescent="0.2">
      <c r="A30" s="4"/>
      <c r="B30" s="27"/>
      <c r="C30" s="28" t="s">
        <v>159</v>
      </c>
      <c r="D30" s="28"/>
      <c r="E30" s="29"/>
      <c r="F30" s="28"/>
      <c r="G30" s="30"/>
      <c r="H30" s="31"/>
      <c r="I30" s="30"/>
      <c r="J30" s="31"/>
      <c r="K30" s="30"/>
      <c r="L30" s="31"/>
      <c r="M30" s="32"/>
      <c r="N30" s="31"/>
      <c r="O30" s="30"/>
      <c r="P30" s="31"/>
      <c r="Q30" s="30"/>
      <c r="R30" s="31"/>
      <c r="S30" s="30"/>
      <c r="T30" s="31"/>
      <c r="U30" s="32"/>
      <c r="V30" s="31"/>
      <c r="W30" s="33"/>
      <c r="X30" s="33"/>
      <c r="Y30" s="33"/>
      <c r="Z30" s="33"/>
      <c r="AA30" s="33"/>
      <c r="AB30" s="33"/>
      <c r="AC30" s="33"/>
      <c r="AD30" s="34">
        <v>400</v>
      </c>
      <c r="AE30" s="34"/>
      <c r="AF30" s="49"/>
      <c r="AG30" s="50"/>
      <c r="AH30" s="51">
        <v>80000</v>
      </c>
      <c r="AI30" s="51"/>
      <c r="AJ30" s="51"/>
      <c r="AK30" s="51"/>
      <c r="AL30" s="51">
        <v>80000</v>
      </c>
      <c r="AM30" s="51"/>
      <c r="AN30" s="51">
        <v>11694.95</v>
      </c>
      <c r="AO30" s="51"/>
      <c r="AP30" s="54">
        <v>1006.64</v>
      </c>
      <c r="AQ30" s="51"/>
      <c r="AR30" s="51"/>
      <c r="AS30" s="51">
        <f t="shared" ref="AS30" si="25">AP30*2</f>
        <v>2013.28</v>
      </c>
      <c r="AT30" s="51"/>
      <c r="AU30" s="53"/>
      <c r="AV30" s="54">
        <v>87000</v>
      </c>
      <c r="AW30" s="128">
        <f>AN30-AV30</f>
        <v>-75305.05</v>
      </c>
      <c r="AX30" s="56"/>
      <c r="AY30" s="88"/>
      <c r="AZ30" s="89">
        <v>6476.45</v>
      </c>
      <c r="BA30" s="54"/>
      <c r="BB30" s="54"/>
      <c r="BC30" s="60"/>
      <c r="BD30" s="54">
        <v>50291.6</v>
      </c>
      <c r="BE30" s="54"/>
      <c r="BF30" s="54"/>
      <c r="BG30" s="54">
        <v>87000</v>
      </c>
      <c r="BH30" s="54"/>
      <c r="BI30" s="57">
        <v>103893.14</v>
      </c>
      <c r="BJ30" s="54"/>
      <c r="BK30" s="54">
        <v>65000</v>
      </c>
      <c r="BL30" s="54"/>
      <c r="BM30" s="58">
        <f t="shared" si="15"/>
        <v>-22000</v>
      </c>
      <c r="BN30" s="58"/>
      <c r="BO30" s="66">
        <v>63461.87</v>
      </c>
      <c r="BP30" s="66"/>
      <c r="BQ30" s="66">
        <v>65912.92</v>
      </c>
      <c r="BR30" s="66"/>
      <c r="BS30" s="66">
        <f t="shared" si="1"/>
        <v>912.91999999999825</v>
      </c>
      <c r="BT30" s="58"/>
      <c r="BU30" s="54">
        <v>77000</v>
      </c>
      <c r="BV30" s="58"/>
      <c r="BW30" s="58">
        <f t="shared" si="16"/>
        <v>12000</v>
      </c>
      <c r="BX30" s="58"/>
      <c r="BY30" s="91" t="s">
        <v>254</v>
      </c>
      <c r="BZ30" s="66">
        <v>76325.06</v>
      </c>
      <c r="CA30" s="66"/>
      <c r="CB30" s="54">
        <v>60000</v>
      </c>
      <c r="CC30" s="54"/>
      <c r="CD30" s="54">
        <v>60000</v>
      </c>
      <c r="CE30" s="54"/>
      <c r="CF30" s="54">
        <v>60000</v>
      </c>
      <c r="CG30" s="60"/>
      <c r="CH30" s="61">
        <f t="shared" si="4"/>
        <v>0</v>
      </c>
      <c r="CI30" s="200"/>
      <c r="CJ30" s="295" t="s">
        <v>204</v>
      </c>
      <c r="CK30" s="346">
        <f t="shared" si="5"/>
        <v>5000</v>
      </c>
    </row>
    <row r="31" spans="1:89" s="7" customFormat="1" ht="16.5" customHeight="1" thickBot="1" x14ac:dyDescent="0.25">
      <c r="A31" s="6"/>
      <c r="B31" s="124"/>
      <c r="C31" s="28" t="s">
        <v>157</v>
      </c>
      <c r="D31" s="28"/>
      <c r="E31" s="29"/>
      <c r="F31" s="28"/>
      <c r="G31" s="30"/>
      <c r="H31" s="31"/>
      <c r="I31" s="30"/>
      <c r="J31" s="31"/>
      <c r="K31" s="30"/>
      <c r="L31" s="31"/>
      <c r="M31" s="32"/>
      <c r="N31" s="31"/>
      <c r="O31" s="30"/>
      <c r="P31" s="31"/>
      <c r="Q31" s="30"/>
      <c r="R31" s="31"/>
      <c r="S31" s="30"/>
      <c r="T31" s="31"/>
      <c r="U31" s="32"/>
      <c r="V31" s="31"/>
      <c r="W31" s="33"/>
      <c r="X31" s="33"/>
      <c r="Y31" s="33"/>
      <c r="Z31" s="33"/>
      <c r="AA31" s="33"/>
      <c r="AB31" s="33"/>
      <c r="AC31" s="70"/>
      <c r="AD31" s="48"/>
      <c r="AE31" s="34"/>
      <c r="AF31" s="49"/>
      <c r="AG31" s="50"/>
      <c r="AH31" s="51"/>
      <c r="AI31" s="51"/>
      <c r="AJ31" s="51"/>
      <c r="AK31" s="51"/>
      <c r="AL31" s="51"/>
      <c r="AM31" s="51"/>
      <c r="AN31" s="51">
        <v>0</v>
      </c>
      <c r="AO31" s="51"/>
      <c r="AP31" s="51"/>
      <c r="AQ31" s="51"/>
      <c r="AR31" s="51"/>
      <c r="AS31" s="51"/>
      <c r="AT31" s="51"/>
      <c r="AU31" s="65"/>
      <c r="AV31" s="54">
        <v>50000</v>
      </c>
      <c r="AW31" s="55"/>
      <c r="AX31" s="56"/>
      <c r="AY31" s="56"/>
      <c r="AZ31" s="54">
        <v>0</v>
      </c>
      <c r="BA31" s="54"/>
      <c r="BB31" s="54"/>
      <c r="BC31" s="60"/>
      <c r="BD31" s="54">
        <v>4683.79</v>
      </c>
      <c r="BE31" s="54"/>
      <c r="BF31" s="54"/>
      <c r="BG31" s="54">
        <v>50000</v>
      </c>
      <c r="BH31" s="54"/>
      <c r="BI31" s="54">
        <v>57573.4</v>
      </c>
      <c r="BJ31" s="54"/>
      <c r="BK31" s="54">
        <v>50000</v>
      </c>
      <c r="BL31" s="54"/>
      <c r="BM31" s="58">
        <f t="shared" si="15"/>
        <v>0</v>
      </c>
      <c r="BN31" s="58"/>
      <c r="BO31" s="66">
        <v>64954.99</v>
      </c>
      <c r="BP31" s="66"/>
      <c r="BQ31" s="66">
        <v>69315.3</v>
      </c>
      <c r="BR31" s="66"/>
      <c r="BS31" s="66">
        <f t="shared" si="1"/>
        <v>19315.300000000003</v>
      </c>
      <c r="BT31" s="58"/>
      <c r="BU31" s="54">
        <v>50000</v>
      </c>
      <c r="BV31" s="58"/>
      <c r="BW31" s="58">
        <f t="shared" si="16"/>
        <v>0</v>
      </c>
      <c r="BX31" s="58"/>
      <c r="BY31" s="90" t="s">
        <v>206</v>
      </c>
      <c r="BZ31" s="66">
        <v>6328.75</v>
      </c>
      <c r="CA31" s="66"/>
      <c r="CB31" s="54">
        <v>50000</v>
      </c>
      <c r="CC31" s="54"/>
      <c r="CD31" s="54">
        <v>18693.46</v>
      </c>
      <c r="CE31" s="54"/>
      <c r="CF31" s="54">
        <v>50000</v>
      </c>
      <c r="CG31" s="60"/>
      <c r="CH31" s="61">
        <f t="shared" si="4"/>
        <v>0</v>
      </c>
      <c r="CI31" s="200"/>
      <c r="CJ31" s="295" t="s">
        <v>204</v>
      </c>
      <c r="CK31" s="346">
        <f t="shared" si="5"/>
        <v>4166.666666666667</v>
      </c>
    </row>
    <row r="32" spans="1:89" ht="13.5" customHeight="1" thickBot="1" x14ac:dyDescent="0.25">
      <c r="A32" s="4"/>
      <c r="B32" s="327"/>
      <c r="C32" s="326" t="s">
        <v>189</v>
      </c>
      <c r="D32" s="326"/>
      <c r="E32" s="328"/>
      <c r="F32" s="326"/>
      <c r="G32" s="30"/>
      <c r="H32" s="31"/>
      <c r="I32" s="30"/>
      <c r="J32" s="31"/>
      <c r="K32" s="30"/>
      <c r="L32" s="31"/>
      <c r="M32" s="32"/>
      <c r="N32" s="31"/>
      <c r="O32" s="30"/>
      <c r="P32" s="31"/>
      <c r="Q32" s="30"/>
      <c r="R32" s="31"/>
      <c r="S32" s="30"/>
      <c r="T32" s="31"/>
      <c r="U32" s="32"/>
      <c r="V32" s="31"/>
      <c r="W32" s="33"/>
      <c r="X32" s="33"/>
      <c r="Y32" s="33"/>
      <c r="Z32" s="33"/>
      <c r="AA32" s="33"/>
      <c r="AB32" s="33"/>
      <c r="AC32" s="33"/>
      <c r="AD32" s="34"/>
      <c r="AE32" s="34"/>
      <c r="AF32" s="39"/>
      <c r="AG32" s="40"/>
      <c r="AH32" s="41"/>
      <c r="AI32" s="41"/>
      <c r="AJ32" s="41"/>
      <c r="AK32" s="41"/>
      <c r="AL32" s="73"/>
      <c r="AM32" s="73"/>
      <c r="AN32" s="73"/>
      <c r="AO32" s="73"/>
      <c r="AP32" s="74"/>
      <c r="AQ32" s="73"/>
      <c r="AR32" s="73"/>
      <c r="AS32" s="73"/>
      <c r="AT32" s="73"/>
      <c r="AU32" s="116"/>
      <c r="AV32" s="93"/>
      <c r="AW32" s="94"/>
      <c r="AX32" s="95"/>
      <c r="AY32" s="129"/>
      <c r="AZ32" s="130"/>
      <c r="BA32" s="93"/>
      <c r="BB32" s="131"/>
      <c r="BC32" s="99"/>
      <c r="BD32" s="93"/>
      <c r="BE32" s="93"/>
      <c r="BF32" s="93"/>
      <c r="BG32" s="93"/>
      <c r="BH32" s="93"/>
      <c r="BI32" s="100"/>
      <c r="BJ32" s="93"/>
      <c r="BK32" s="93">
        <v>5000</v>
      </c>
      <c r="BL32" s="101"/>
      <c r="BM32" s="101">
        <f t="shared" si="15"/>
        <v>5000</v>
      </c>
      <c r="BN32" s="101"/>
      <c r="BO32" s="102">
        <v>0</v>
      </c>
      <c r="BP32" s="102"/>
      <c r="BQ32" s="102">
        <v>2168.1999999999998</v>
      </c>
      <c r="BR32" s="102"/>
      <c r="BS32" s="102">
        <f t="shared" si="1"/>
        <v>-2831.8</v>
      </c>
      <c r="BT32" s="101"/>
      <c r="BU32" s="93">
        <f>BM32-BI32</f>
        <v>5000</v>
      </c>
      <c r="BV32" s="58"/>
      <c r="BW32" s="101">
        <f t="shared" si="16"/>
        <v>0</v>
      </c>
      <c r="BX32" s="58"/>
      <c r="BY32" s="90" t="s">
        <v>204</v>
      </c>
      <c r="BZ32" s="102">
        <v>5309.47</v>
      </c>
      <c r="CA32" s="102"/>
      <c r="CB32" s="93">
        <v>5000</v>
      </c>
      <c r="CC32" s="93"/>
      <c r="CD32" s="93">
        <v>1344.3</v>
      </c>
      <c r="CE32" s="93"/>
      <c r="CF32" s="93">
        <v>5000</v>
      </c>
      <c r="CG32" s="99"/>
      <c r="CH32" s="103">
        <f t="shared" si="4"/>
        <v>0</v>
      </c>
      <c r="CI32" s="129"/>
      <c r="CJ32" s="304" t="s">
        <v>204</v>
      </c>
      <c r="CK32" s="346">
        <f t="shared" si="5"/>
        <v>416.66666666666669</v>
      </c>
    </row>
    <row r="33" spans="1:89" ht="15" customHeight="1" thickBot="1" x14ac:dyDescent="0.25">
      <c r="A33" s="4"/>
      <c r="B33" s="327" t="s">
        <v>193</v>
      </c>
      <c r="C33" s="326"/>
      <c r="D33" s="326"/>
      <c r="E33" s="328"/>
      <c r="F33" s="326"/>
      <c r="G33" s="30"/>
      <c r="H33" s="31"/>
      <c r="I33" s="30"/>
      <c r="J33" s="31"/>
      <c r="K33" s="30"/>
      <c r="L33" s="31"/>
      <c r="M33" s="32"/>
      <c r="N33" s="31"/>
      <c r="O33" s="30"/>
      <c r="P33" s="31"/>
      <c r="Q33" s="30"/>
      <c r="R33" s="31"/>
      <c r="S33" s="30"/>
      <c r="T33" s="31"/>
      <c r="U33" s="32"/>
      <c r="V33" s="31"/>
      <c r="W33" s="33"/>
      <c r="X33" s="33"/>
      <c r="Y33" s="33"/>
      <c r="Z33" s="33"/>
      <c r="AA33" s="33"/>
      <c r="AB33" s="33"/>
      <c r="AC33" s="33"/>
      <c r="AD33" s="34"/>
      <c r="AE33" s="34"/>
      <c r="AF33" s="39"/>
      <c r="AG33" s="40"/>
      <c r="AH33" s="41"/>
      <c r="AI33" s="41"/>
      <c r="AJ33" s="41"/>
      <c r="AK33" s="41"/>
      <c r="AL33" s="41">
        <f>AL21+AL25+AL30+AL31+AL32+AL117+AL118+AL120+AL29</f>
        <v>250500</v>
      </c>
      <c r="AM33" s="41"/>
      <c r="AN33" s="41">
        <f>AN21+AN25+AN30+AN31+AN32+AN117+AN118+AN120+AN29</f>
        <v>205189.01</v>
      </c>
      <c r="AO33" s="41">
        <f>AO21+AO25+AO30+AO31+AO32+AO117+AO118+AO120</f>
        <v>0</v>
      </c>
      <c r="AP33" s="41">
        <f>AP21+AP25+AP30+AP31+AP32+AP117+AP118+AP120</f>
        <v>83754.23</v>
      </c>
      <c r="AQ33" s="41">
        <f>AQ21+AQ25+AQ30+AQ31+AQ32+AQ117+AQ118+AQ120</f>
        <v>0</v>
      </c>
      <c r="AR33" s="41">
        <f>AR21+AR25+AR30+AR31+AR32+AR117+AR118+AR120</f>
        <v>36999.94</v>
      </c>
      <c r="AS33" s="41">
        <f>AS21+AS25+AS30+AS31+AS32+AS117+AS118+AS120</f>
        <v>167508.46</v>
      </c>
      <c r="AT33" s="41">
        <f>AT21+AT25+AT30+AT31+AT32+AT117+AT118+AT120</f>
        <v>0</v>
      </c>
      <c r="AU33" s="41">
        <f>AU21+AU25+AU30+AU31+AU32+AU117+AU118+AU120</f>
        <v>0</v>
      </c>
      <c r="AV33" s="79">
        <f>AV21+AV25+AV30+AV31+AV32+AV117+AV118+AV120+AV29</f>
        <v>327300</v>
      </c>
      <c r="AW33" s="79">
        <f>AW21+AW25+AW30+AW31+AW32+AW117+AW118+AW120</f>
        <v>-75305.05</v>
      </c>
      <c r="AX33" s="79">
        <f>AX21+AX25+AX30+AX31+AX32+AX117+AX118+AX120</f>
        <v>21214.830000000005</v>
      </c>
      <c r="AY33" s="79">
        <f>AY21+AY25+AY30+AY31+AY32+AY117+AY118+AY120</f>
        <v>0</v>
      </c>
      <c r="AZ33" s="79">
        <f>AZ21+AZ25+AZ30+AZ31+AZ32+AZ117+AZ118+AZ120</f>
        <v>100376.62</v>
      </c>
      <c r="BA33" s="79">
        <f>BA21+BA25+BA30+BA31+BA32+BA117+BA118+BA120</f>
        <v>0</v>
      </c>
      <c r="BB33" s="79">
        <f>BB21+BB25+BB30+BB31+BB32+BB117+BB118+BB120</f>
        <v>0</v>
      </c>
      <c r="BC33" s="83">
        <f>BC21+BC25+BC30+BC31+BC32+BC117+BC118+BC120</f>
        <v>0</v>
      </c>
      <c r="BD33" s="79">
        <f>BD21+BD25+BD30+BD31+BD32+BD117+BD118+BD120+BD29</f>
        <v>283445.23</v>
      </c>
      <c r="BE33" s="79">
        <f>BE21+BE25+BE30+BE31+BE32+BE117+BE118+BE120</f>
        <v>0</v>
      </c>
      <c r="BF33" s="79">
        <f>BF21+BF25+BF30+BF31+BF32+BF117+BF118+BF120</f>
        <v>0</v>
      </c>
      <c r="BG33" s="104">
        <f>BG21+BG25+BG30+BG31+BG32+BG117+BG118+BG120+BG29</f>
        <v>331300</v>
      </c>
      <c r="BH33" s="104">
        <f>BH21+BH25+BH30+BH31+BH32+BH117+BH118+BH120</f>
        <v>0</v>
      </c>
      <c r="BI33" s="104">
        <f>BI21+BI25+BI30+BI31+BI32+BI117+BI118+BI120+BI29</f>
        <v>444779.33999999997</v>
      </c>
      <c r="BJ33" s="104">
        <f>BJ21+BJ25+BJ30+BJ31+BJ32+BJ117+BJ118+BJ120</f>
        <v>0</v>
      </c>
      <c r="BK33" s="104">
        <f>BK25+BK30+BK31+BK32+BK29</f>
        <v>283184.23</v>
      </c>
      <c r="BL33" s="104">
        <f>BL21+BL25+BL30+BL31+BL32+BL117+BL118+BL120</f>
        <v>0</v>
      </c>
      <c r="BM33" s="108">
        <f>BM120+BM118+BM117+BM32+BM31+BM30+BM29+BM25</f>
        <v>112384.23000000001</v>
      </c>
      <c r="BN33" s="108"/>
      <c r="BO33" s="109">
        <v>190500.72</v>
      </c>
      <c r="BP33" s="109"/>
      <c r="BQ33" s="109">
        <f t="shared" si="8"/>
        <v>381001.44</v>
      </c>
      <c r="BR33" s="109"/>
      <c r="BS33" s="109">
        <f t="shared" si="1"/>
        <v>97817.210000000021</v>
      </c>
      <c r="BT33" s="108"/>
      <c r="BU33" s="104">
        <f>BU32+BU31+BU30+BU29+BU25+BU21</f>
        <v>283000</v>
      </c>
      <c r="BV33" s="101"/>
      <c r="BW33" s="108">
        <f t="shared" si="16"/>
        <v>-184.22999999998137</v>
      </c>
      <c r="BX33" s="101"/>
      <c r="BY33" s="110"/>
      <c r="BZ33" s="104">
        <f>BZ32+BZ31+BZ30+BZ29+BZ25+BZ21</f>
        <v>254711.44</v>
      </c>
      <c r="CA33" s="104"/>
      <c r="CB33" s="104">
        <f>CB32+CB31+CB30+CB29+CB25+CB21</f>
        <v>303000</v>
      </c>
      <c r="CC33" s="104"/>
      <c r="CD33" s="104">
        <f>CD32+CD31+CD30+CD29+CD25+CD21</f>
        <v>262112.17999999996</v>
      </c>
      <c r="CE33" s="104"/>
      <c r="CF33" s="104">
        <f>+CF20+CF32+CF31+CF30+CF29+CF25+CF21</f>
        <v>308900</v>
      </c>
      <c r="CG33" s="107"/>
      <c r="CH33" s="111">
        <f t="shared" si="4"/>
        <v>5900</v>
      </c>
      <c r="CI33" s="96"/>
      <c r="CJ33" s="305"/>
      <c r="CK33" s="346">
        <f t="shared" si="5"/>
        <v>25741.666666666668</v>
      </c>
    </row>
    <row r="34" spans="1:89" ht="12.75" customHeight="1" x14ac:dyDescent="0.2">
      <c r="A34" s="4"/>
      <c r="B34" s="347" t="s">
        <v>13</v>
      </c>
      <c r="C34" s="348"/>
      <c r="D34" s="348"/>
      <c r="E34" s="348"/>
      <c r="F34" s="348"/>
      <c r="G34" s="30"/>
      <c r="H34" s="31"/>
      <c r="I34" s="30"/>
      <c r="J34" s="31"/>
      <c r="K34" s="30"/>
      <c r="L34" s="31"/>
      <c r="M34" s="32"/>
      <c r="N34" s="31"/>
      <c r="O34" s="30"/>
      <c r="P34" s="31"/>
      <c r="Q34" s="30"/>
      <c r="R34" s="31"/>
      <c r="S34" s="30"/>
      <c r="T34" s="31"/>
      <c r="U34" s="32"/>
      <c r="V34" s="31"/>
      <c r="W34" s="33"/>
      <c r="X34" s="33"/>
      <c r="Y34" s="33"/>
      <c r="Z34" s="33"/>
      <c r="AA34" s="33"/>
      <c r="AB34" s="33"/>
      <c r="AC34" s="33"/>
      <c r="AD34" s="34"/>
      <c r="AE34" s="34"/>
      <c r="AF34" s="49"/>
      <c r="AG34" s="50"/>
      <c r="AH34" s="51"/>
      <c r="AI34" s="51"/>
      <c r="AJ34" s="51"/>
      <c r="AK34" s="51"/>
      <c r="AL34" s="51"/>
      <c r="AM34" s="51"/>
      <c r="AN34" s="51"/>
      <c r="AO34" s="51"/>
      <c r="AP34" s="51"/>
      <c r="AQ34" s="51"/>
      <c r="AR34" s="51"/>
      <c r="AS34" s="51"/>
      <c r="AT34" s="51"/>
      <c r="AU34" s="65"/>
      <c r="AV34" s="54"/>
      <c r="AW34" s="55"/>
      <c r="AX34" s="56">
        <f t="shared" ref="AX34:AX40" si="26">AN34-AL34</f>
        <v>0</v>
      </c>
      <c r="AY34" s="56"/>
      <c r="AZ34" s="54"/>
      <c r="BA34" s="54"/>
      <c r="BB34" s="82"/>
      <c r="BC34" s="60"/>
      <c r="BD34" s="54">
        <f t="shared" si="7"/>
        <v>0</v>
      </c>
      <c r="BE34" s="54"/>
      <c r="BF34" s="54"/>
      <c r="BG34" s="79"/>
      <c r="BH34" s="79"/>
      <c r="BI34" s="79"/>
      <c r="BJ34" s="79"/>
      <c r="BK34" s="79"/>
      <c r="BL34" s="79"/>
      <c r="BM34" s="84"/>
      <c r="BN34" s="84"/>
      <c r="BO34" s="79"/>
      <c r="BP34" s="79"/>
      <c r="BQ34" s="85"/>
      <c r="BR34" s="85"/>
      <c r="BS34" s="85"/>
      <c r="BT34" s="84"/>
      <c r="BU34" s="79"/>
      <c r="BV34" s="84"/>
      <c r="BW34" s="84">
        <f t="shared" si="16"/>
        <v>0</v>
      </c>
      <c r="BX34" s="84"/>
      <c r="BY34" s="86"/>
      <c r="BZ34" s="85"/>
      <c r="CA34" s="85"/>
      <c r="CB34" s="79"/>
      <c r="CC34" s="79"/>
      <c r="CD34" s="79"/>
      <c r="CE34" s="79"/>
      <c r="CF34" s="79"/>
      <c r="CG34" s="83"/>
      <c r="CH34" s="112"/>
      <c r="CI34" s="199"/>
      <c r="CJ34" s="299"/>
      <c r="CK34" s="346">
        <f t="shared" si="5"/>
        <v>0</v>
      </c>
    </row>
    <row r="35" spans="1:89" ht="15.75" customHeight="1" x14ac:dyDescent="0.2">
      <c r="A35" s="4"/>
      <c r="B35" s="27"/>
      <c r="C35" s="348" t="s">
        <v>14</v>
      </c>
      <c r="D35" s="348"/>
      <c r="E35" s="348"/>
      <c r="F35" s="348"/>
      <c r="G35" s="30">
        <v>4965.75</v>
      </c>
      <c r="H35" s="31"/>
      <c r="I35" s="30">
        <v>2500</v>
      </c>
      <c r="J35" s="31"/>
      <c r="K35" s="30">
        <f>ROUND((G35-I35),5)</f>
        <v>2465.75</v>
      </c>
      <c r="L35" s="31"/>
      <c r="M35" s="32">
        <f>ROUND(IF(I35=0, IF(G35=0, 0, 1), G35/I35),5)</f>
        <v>1.9863</v>
      </c>
      <c r="N35" s="31"/>
      <c r="O35" s="30">
        <v>0</v>
      </c>
      <c r="P35" s="31"/>
      <c r="Q35" s="30">
        <v>2500</v>
      </c>
      <c r="R35" s="31"/>
      <c r="S35" s="30">
        <f>ROUND((O35-Q35),5)</f>
        <v>-2500</v>
      </c>
      <c r="T35" s="31"/>
      <c r="U35" s="32">
        <f>ROUND(IF(Q35=0, IF(O35=0, 0, 1), O35/Q35),5)</f>
        <v>0</v>
      </c>
      <c r="V35" s="31"/>
      <c r="W35" s="33">
        <v>0</v>
      </c>
      <c r="X35" s="33"/>
      <c r="Y35" s="33">
        <v>2500</v>
      </c>
      <c r="Z35" s="33"/>
      <c r="AA35" s="33">
        <f>ROUND((W35-Y35),5)</f>
        <v>-2500</v>
      </c>
      <c r="AB35" s="33"/>
      <c r="AC35" s="33"/>
      <c r="AD35" s="34">
        <v>30000</v>
      </c>
      <c r="AE35" s="34"/>
      <c r="AF35" s="49">
        <v>30306.2</v>
      </c>
      <c r="AG35" s="50"/>
      <c r="AH35" s="51">
        <v>30000</v>
      </c>
      <c r="AI35" s="51"/>
      <c r="AJ35" s="51">
        <v>15263.24</v>
      </c>
      <c r="AK35" s="51"/>
      <c r="AL35" s="51">
        <v>30000</v>
      </c>
      <c r="AM35" s="51"/>
      <c r="AN35" s="51">
        <v>18560</v>
      </c>
      <c r="AO35" s="51"/>
      <c r="AP35" s="51">
        <v>13709.75</v>
      </c>
      <c r="AQ35" s="51"/>
      <c r="AR35" s="51">
        <f>ROUND(I35+Q35+Y35,5)</f>
        <v>7500</v>
      </c>
      <c r="AS35" s="51">
        <f t="shared" ref="AS35:AS88" si="27">AP35*2</f>
        <v>27419.5</v>
      </c>
      <c r="AT35" s="51"/>
      <c r="AU35" s="65"/>
      <c r="AV35" s="54">
        <v>30000</v>
      </c>
      <c r="AW35" s="55"/>
      <c r="AX35" s="56">
        <f t="shared" si="26"/>
        <v>-11440</v>
      </c>
      <c r="AY35" s="88"/>
      <c r="AZ35" s="89">
        <v>11077.5</v>
      </c>
      <c r="BA35" s="54"/>
      <c r="BB35" s="82"/>
      <c r="BC35" s="60"/>
      <c r="BD35" s="54">
        <v>17071.25</v>
      </c>
      <c r="BE35" s="54"/>
      <c r="BF35" s="54"/>
      <c r="BG35" s="54">
        <v>30000</v>
      </c>
      <c r="BH35" s="54"/>
      <c r="BI35" s="57">
        <v>13387.5</v>
      </c>
      <c r="BJ35" s="54"/>
      <c r="BK35" s="54">
        <v>10000</v>
      </c>
      <c r="BL35" s="54"/>
      <c r="BM35" s="58">
        <f t="shared" ref="BM35:BM42" si="28">BK35-BG35</f>
        <v>-20000</v>
      </c>
      <c r="BN35" s="58"/>
      <c r="BO35" s="66">
        <v>3237.5</v>
      </c>
      <c r="BP35" s="66"/>
      <c r="BQ35" s="66">
        <v>7140</v>
      </c>
      <c r="BR35" s="66"/>
      <c r="BS35" s="66">
        <f t="shared" si="1"/>
        <v>-2860</v>
      </c>
      <c r="BT35" s="58"/>
      <c r="BU35" s="54">
        <v>10000</v>
      </c>
      <c r="BV35" s="58"/>
      <c r="BW35" s="58">
        <f t="shared" si="16"/>
        <v>0</v>
      </c>
      <c r="BX35" s="58"/>
      <c r="BY35" s="91" t="s">
        <v>255</v>
      </c>
      <c r="BZ35" s="66">
        <v>10465</v>
      </c>
      <c r="CA35" s="66"/>
      <c r="CB35" s="54">
        <v>10000</v>
      </c>
      <c r="CC35" s="54"/>
      <c r="CD35" s="54">
        <v>12635</v>
      </c>
      <c r="CE35" s="54"/>
      <c r="CF35" s="54">
        <v>10000</v>
      </c>
      <c r="CG35" s="60"/>
      <c r="CH35" s="61">
        <f t="shared" si="4"/>
        <v>0</v>
      </c>
      <c r="CI35" s="200"/>
      <c r="CJ35" s="295" t="s">
        <v>204</v>
      </c>
      <c r="CK35" s="346">
        <f t="shared" si="5"/>
        <v>833.33333333333337</v>
      </c>
    </row>
    <row r="36" spans="1:89" ht="15.75" customHeight="1" x14ac:dyDescent="0.2">
      <c r="A36" s="4"/>
      <c r="B36" s="27"/>
      <c r="C36" s="348" t="s">
        <v>15</v>
      </c>
      <c r="D36" s="348"/>
      <c r="E36" s="348"/>
      <c r="F36" s="348"/>
      <c r="G36" s="30">
        <v>0</v>
      </c>
      <c r="H36" s="31"/>
      <c r="I36" s="30">
        <v>0</v>
      </c>
      <c r="J36" s="31"/>
      <c r="K36" s="30">
        <f>ROUND((G36-I36),5)</f>
        <v>0</v>
      </c>
      <c r="L36" s="31"/>
      <c r="M36" s="32">
        <f>ROUND(IF(I36=0, IF(G36=0, 0, 1), G36/I36),5)</f>
        <v>0</v>
      </c>
      <c r="N36" s="31"/>
      <c r="O36" s="30">
        <v>2715</v>
      </c>
      <c r="P36" s="31"/>
      <c r="Q36" s="30">
        <v>0</v>
      </c>
      <c r="R36" s="31"/>
      <c r="S36" s="30">
        <f>ROUND((O36-Q36),5)</f>
        <v>2715</v>
      </c>
      <c r="T36" s="31"/>
      <c r="U36" s="32">
        <f>ROUND(IF(Q36=0, IF(O36=0, 0, 1), O36/Q36),5)</f>
        <v>1</v>
      </c>
      <c r="V36" s="31"/>
      <c r="W36" s="33">
        <v>9900</v>
      </c>
      <c r="X36" s="33"/>
      <c r="Y36" s="33">
        <v>5250</v>
      </c>
      <c r="Z36" s="33"/>
      <c r="AA36" s="33">
        <f>ROUND((W36-Y36),5)</f>
        <v>4650</v>
      </c>
      <c r="AB36" s="33"/>
      <c r="AC36" s="33"/>
      <c r="AD36" s="34">
        <v>35292</v>
      </c>
      <c r="AE36" s="34"/>
      <c r="AF36" s="49">
        <v>35292</v>
      </c>
      <c r="AG36" s="50"/>
      <c r="AH36" s="51">
        <v>19000</v>
      </c>
      <c r="AI36" s="51"/>
      <c r="AJ36" s="51">
        <v>32514</v>
      </c>
      <c r="AK36" s="51"/>
      <c r="AL36" s="51">
        <v>21000</v>
      </c>
      <c r="AM36" s="51"/>
      <c r="AN36" s="51">
        <v>15658.21</v>
      </c>
      <c r="AO36" s="51"/>
      <c r="AP36" s="51">
        <f>ROUND(G36+O36+W36,5)</f>
        <v>12615</v>
      </c>
      <c r="AQ36" s="51"/>
      <c r="AR36" s="51">
        <f>ROUND(I36+Q36+Y36,5)</f>
        <v>5250</v>
      </c>
      <c r="AS36" s="51">
        <f t="shared" si="27"/>
        <v>25230</v>
      </c>
      <c r="AT36" s="51"/>
      <c r="AU36" s="65"/>
      <c r="AV36" s="54">
        <v>22000</v>
      </c>
      <c r="AW36" s="55"/>
      <c r="AX36" s="56">
        <f t="shared" si="26"/>
        <v>-5341.7900000000009</v>
      </c>
      <c r="AY36" s="88"/>
      <c r="AZ36" s="89">
        <v>7625</v>
      </c>
      <c r="BA36" s="54"/>
      <c r="BB36" s="82"/>
      <c r="BC36" s="60"/>
      <c r="BD36" s="54">
        <v>14918</v>
      </c>
      <c r="BE36" s="54"/>
      <c r="BF36" s="54"/>
      <c r="BG36" s="54">
        <v>13000</v>
      </c>
      <c r="BH36" s="54"/>
      <c r="BI36" s="57">
        <v>12610</v>
      </c>
      <c r="BJ36" s="54"/>
      <c r="BK36" s="54">
        <v>11000</v>
      </c>
      <c r="BL36" s="54"/>
      <c r="BM36" s="58">
        <f t="shared" si="28"/>
        <v>-2000</v>
      </c>
      <c r="BN36" s="58"/>
      <c r="BO36" s="66">
        <v>21000</v>
      </c>
      <c r="BP36" s="66"/>
      <c r="BQ36" s="66">
        <v>21000</v>
      </c>
      <c r="BR36" s="66"/>
      <c r="BS36" s="66">
        <f t="shared" si="1"/>
        <v>10000</v>
      </c>
      <c r="BT36" s="58"/>
      <c r="BU36" s="54">
        <v>13750</v>
      </c>
      <c r="BV36" s="58"/>
      <c r="BW36" s="58">
        <f t="shared" si="16"/>
        <v>2750</v>
      </c>
      <c r="BX36" s="58"/>
      <c r="BY36" s="91" t="s">
        <v>256</v>
      </c>
      <c r="BZ36" s="66">
        <v>12550</v>
      </c>
      <c r="CA36" s="66"/>
      <c r="CB36" s="54">
        <v>15750</v>
      </c>
      <c r="CC36" s="54"/>
      <c r="CD36" s="54">
        <v>15750</v>
      </c>
      <c r="CE36" s="54"/>
      <c r="CF36" s="54">
        <v>16750</v>
      </c>
      <c r="CG36" s="60"/>
      <c r="CH36" s="61">
        <f t="shared" si="4"/>
        <v>1000</v>
      </c>
      <c r="CI36" s="200"/>
      <c r="CJ36" s="306" t="s">
        <v>257</v>
      </c>
      <c r="CK36" s="346">
        <f t="shared" si="5"/>
        <v>1395.8333333333333</v>
      </c>
    </row>
    <row r="37" spans="1:89" ht="17.25" hidden="1" customHeight="1" thickBot="1" x14ac:dyDescent="0.25">
      <c r="A37" s="4"/>
      <c r="B37" s="27"/>
      <c r="C37" s="28" t="s">
        <v>16</v>
      </c>
      <c r="D37" s="28"/>
      <c r="E37" s="29"/>
      <c r="F37" s="28"/>
      <c r="G37" s="30"/>
      <c r="H37" s="31"/>
      <c r="I37" s="30"/>
      <c r="J37" s="31"/>
      <c r="K37" s="30"/>
      <c r="L37" s="31"/>
      <c r="M37" s="32"/>
      <c r="N37" s="31"/>
      <c r="O37" s="30"/>
      <c r="P37" s="31"/>
      <c r="Q37" s="30"/>
      <c r="R37" s="31"/>
      <c r="S37" s="30"/>
      <c r="T37" s="31"/>
      <c r="U37" s="32"/>
      <c r="V37" s="31"/>
      <c r="W37" s="33"/>
      <c r="X37" s="33"/>
      <c r="Y37" s="33"/>
      <c r="Z37" s="33"/>
      <c r="AA37" s="33"/>
      <c r="AB37" s="33"/>
      <c r="AC37" s="70"/>
      <c r="AD37" s="48"/>
      <c r="AE37" s="48"/>
      <c r="AF37" s="49"/>
      <c r="AG37" s="50"/>
      <c r="AH37" s="51"/>
      <c r="AI37" s="51"/>
      <c r="AJ37" s="51"/>
      <c r="AK37" s="51"/>
      <c r="AL37" s="51"/>
      <c r="AM37" s="51"/>
      <c r="AN37" s="51"/>
      <c r="AO37" s="51"/>
      <c r="AP37" s="51"/>
      <c r="AQ37" s="51"/>
      <c r="AR37" s="51"/>
      <c r="AS37" s="51">
        <f t="shared" si="27"/>
        <v>0</v>
      </c>
      <c r="AT37" s="51"/>
      <c r="AU37" s="65"/>
      <c r="AV37" s="54"/>
      <c r="AW37" s="55"/>
      <c r="AX37" s="56">
        <f t="shared" si="26"/>
        <v>0</v>
      </c>
      <c r="AY37" s="88"/>
      <c r="AZ37" s="89"/>
      <c r="BA37" s="54"/>
      <c r="BB37" s="82"/>
      <c r="BC37" s="60"/>
      <c r="BD37" s="54">
        <f t="shared" si="7"/>
        <v>0</v>
      </c>
      <c r="BE37" s="54"/>
      <c r="BF37" s="54"/>
      <c r="BG37" s="54"/>
      <c r="BH37" s="54"/>
      <c r="BI37" s="57"/>
      <c r="BJ37" s="54"/>
      <c r="BK37" s="54"/>
      <c r="BL37" s="54"/>
      <c r="BM37" s="58">
        <f t="shared" si="28"/>
        <v>0</v>
      </c>
      <c r="BN37" s="58"/>
      <c r="BO37" s="66"/>
      <c r="BP37" s="66"/>
      <c r="BQ37" s="66">
        <f t="shared" si="8"/>
        <v>0</v>
      </c>
      <c r="BR37" s="66"/>
      <c r="BS37" s="66">
        <f t="shared" si="1"/>
        <v>0</v>
      </c>
      <c r="BT37" s="58"/>
      <c r="BU37" s="54">
        <f>BM37-BI37</f>
        <v>0</v>
      </c>
      <c r="BV37" s="58"/>
      <c r="BW37" s="58">
        <f t="shared" si="16"/>
        <v>0</v>
      </c>
      <c r="BX37" s="58"/>
      <c r="BY37" s="91"/>
      <c r="BZ37" s="66">
        <f>BX37*2</f>
        <v>0</v>
      </c>
      <c r="CA37" s="66"/>
      <c r="CB37" s="54">
        <f>BS37-BO37</f>
        <v>0</v>
      </c>
      <c r="CC37" s="54"/>
      <c r="CD37" s="54">
        <f>BT37-BP37</f>
        <v>0</v>
      </c>
      <c r="CE37" s="54"/>
      <c r="CF37" s="54">
        <f>BU37-BQ37</f>
        <v>0</v>
      </c>
      <c r="CG37" s="60"/>
      <c r="CH37" s="61">
        <f t="shared" si="4"/>
        <v>0</v>
      </c>
      <c r="CI37" s="200"/>
      <c r="CJ37" s="294"/>
      <c r="CK37" s="346">
        <f t="shared" si="5"/>
        <v>0</v>
      </c>
    </row>
    <row r="38" spans="1:89" ht="17.25" hidden="1" customHeight="1" thickBot="1" x14ac:dyDescent="0.25">
      <c r="A38" s="4"/>
      <c r="B38" s="27"/>
      <c r="C38" s="28"/>
      <c r="D38" s="28" t="s">
        <v>17</v>
      </c>
      <c r="E38" s="29"/>
      <c r="F38" s="28"/>
      <c r="G38" s="68">
        <v>0</v>
      </c>
      <c r="H38" s="31"/>
      <c r="I38" s="68"/>
      <c r="J38" s="31"/>
      <c r="K38" s="68"/>
      <c r="L38" s="31"/>
      <c r="M38" s="69"/>
      <c r="N38" s="31"/>
      <c r="O38" s="68">
        <v>0</v>
      </c>
      <c r="P38" s="31"/>
      <c r="Q38" s="68"/>
      <c r="R38" s="31"/>
      <c r="S38" s="68"/>
      <c r="T38" s="31"/>
      <c r="U38" s="69"/>
      <c r="V38" s="31"/>
      <c r="W38" s="70">
        <v>491</v>
      </c>
      <c r="X38" s="33"/>
      <c r="Y38" s="70"/>
      <c r="Z38" s="33"/>
      <c r="AA38" s="70"/>
      <c r="AB38" s="33"/>
      <c r="AC38" s="70"/>
      <c r="AD38" s="48"/>
      <c r="AE38" s="48"/>
      <c r="AF38" s="49"/>
      <c r="AG38" s="50"/>
      <c r="AH38" s="51"/>
      <c r="AI38" s="51"/>
      <c r="AJ38" s="51"/>
      <c r="AK38" s="51"/>
      <c r="AL38" s="51"/>
      <c r="AM38" s="51"/>
      <c r="AN38" s="51">
        <v>85908</v>
      </c>
      <c r="AO38" s="51"/>
      <c r="AP38" s="51">
        <f>ROUND(G38+O38+W38,5)</f>
        <v>491</v>
      </c>
      <c r="AQ38" s="51"/>
      <c r="AR38" s="51"/>
      <c r="AS38" s="51">
        <f t="shared" si="27"/>
        <v>982</v>
      </c>
      <c r="AT38" s="51"/>
      <c r="AU38" s="65"/>
      <c r="AV38" s="54"/>
      <c r="AW38" s="55"/>
      <c r="AX38" s="56">
        <f t="shared" si="26"/>
        <v>85908</v>
      </c>
      <c r="AY38" s="88"/>
      <c r="AZ38" s="89">
        <v>1055</v>
      </c>
      <c r="BA38" s="54"/>
      <c r="BB38" s="82"/>
      <c r="BC38" s="60"/>
      <c r="BD38" s="54">
        <f t="shared" si="7"/>
        <v>2110</v>
      </c>
      <c r="BE38" s="54"/>
      <c r="BF38" s="54"/>
      <c r="BG38" s="54"/>
      <c r="BH38" s="54"/>
      <c r="BI38" s="57"/>
      <c r="BJ38" s="54"/>
      <c r="BK38" s="54"/>
      <c r="BL38" s="54"/>
      <c r="BM38" s="58">
        <f t="shared" si="28"/>
        <v>0</v>
      </c>
      <c r="BN38" s="58"/>
      <c r="BO38" s="66">
        <v>1341</v>
      </c>
      <c r="BP38" s="66"/>
      <c r="BQ38" s="66">
        <f t="shared" si="8"/>
        <v>2682</v>
      </c>
      <c r="BR38" s="66"/>
      <c r="BS38" s="66">
        <f t="shared" si="1"/>
        <v>2682</v>
      </c>
      <c r="BT38" s="58"/>
      <c r="BU38" s="54">
        <f>BM38-BI38</f>
        <v>0</v>
      </c>
      <c r="BV38" s="58"/>
      <c r="BW38" s="58">
        <f t="shared" si="16"/>
        <v>0</v>
      </c>
      <c r="BX38" s="58"/>
      <c r="BY38" s="91"/>
      <c r="BZ38" s="66">
        <f>BX38*2</f>
        <v>0</v>
      </c>
      <c r="CA38" s="66"/>
      <c r="CB38" s="54">
        <f>BS38-BO38</f>
        <v>1341</v>
      </c>
      <c r="CC38" s="54"/>
      <c r="CD38" s="54">
        <f>BT38-BP38</f>
        <v>0</v>
      </c>
      <c r="CE38" s="54"/>
      <c r="CF38" s="54">
        <f>BU38-BQ38</f>
        <v>-2682</v>
      </c>
      <c r="CG38" s="60"/>
      <c r="CH38" s="61">
        <f t="shared" si="4"/>
        <v>-4023</v>
      </c>
      <c r="CI38" s="200"/>
      <c r="CJ38" s="294"/>
      <c r="CK38" s="346">
        <f t="shared" si="5"/>
        <v>-223.5</v>
      </c>
    </row>
    <row r="39" spans="1:89" ht="14.25" customHeight="1" x14ac:dyDescent="0.2">
      <c r="A39" s="4"/>
      <c r="B39" s="27"/>
      <c r="C39" s="28" t="s">
        <v>16</v>
      </c>
      <c r="D39" s="28"/>
      <c r="E39" s="29"/>
      <c r="F39" s="28"/>
      <c r="G39" s="30">
        <f>ROUND(SUM(G37:G38),5)</f>
        <v>0</v>
      </c>
      <c r="H39" s="31"/>
      <c r="I39" s="30">
        <f>ROUND(SUM(I37:I38),5)</f>
        <v>0</v>
      </c>
      <c r="J39" s="31"/>
      <c r="K39" s="30">
        <f>ROUND((G39-I39),5)</f>
        <v>0</v>
      </c>
      <c r="L39" s="31"/>
      <c r="M39" s="32">
        <f>ROUND(IF(I39=0, IF(G39=0, 0, 1), G39/I39),5)</f>
        <v>0</v>
      </c>
      <c r="N39" s="31"/>
      <c r="O39" s="30">
        <f>ROUND(SUM(O37:O38),5)</f>
        <v>0</v>
      </c>
      <c r="P39" s="31"/>
      <c r="Q39" s="30">
        <f>ROUND(SUM(Q37:Q38),5)</f>
        <v>0</v>
      </c>
      <c r="R39" s="31"/>
      <c r="S39" s="30">
        <f>ROUND((O39-Q39),5)</f>
        <v>0</v>
      </c>
      <c r="T39" s="31"/>
      <c r="U39" s="32">
        <f>ROUND(IF(Q39=0, IF(O39=0, 0, 1), O39/Q39),5)</f>
        <v>0</v>
      </c>
      <c r="V39" s="31"/>
      <c r="W39" s="33">
        <f>SUM(W37:W38)</f>
        <v>491</v>
      </c>
      <c r="X39" s="33"/>
      <c r="Y39" s="33">
        <f>ROUND(SUM(Y37:Y38),5)</f>
        <v>0</v>
      </c>
      <c r="Z39" s="33"/>
      <c r="AA39" s="33">
        <f>ROUND((W39-Y39),5)</f>
        <v>491</v>
      </c>
      <c r="AB39" s="33"/>
      <c r="AC39" s="33"/>
      <c r="AD39" s="34">
        <v>187245.86</v>
      </c>
      <c r="AE39" s="34"/>
      <c r="AF39" s="49">
        <v>187245.86</v>
      </c>
      <c r="AG39" s="50"/>
      <c r="AH39" s="51">
        <v>185000</v>
      </c>
      <c r="AI39" s="51"/>
      <c r="AJ39" s="51">
        <v>219028</v>
      </c>
      <c r="AK39" s="51"/>
      <c r="AL39" s="51">
        <v>200000</v>
      </c>
      <c r="AM39" s="51"/>
      <c r="AN39" s="51">
        <v>211096</v>
      </c>
      <c r="AO39" s="51"/>
      <c r="AP39" s="51">
        <f>ROUND(G39+O39+W39,5)</f>
        <v>491</v>
      </c>
      <c r="AQ39" s="51"/>
      <c r="AR39" s="51">
        <f>ROUND(I39+Q39+Y39,5)</f>
        <v>0</v>
      </c>
      <c r="AS39" s="51">
        <f t="shared" si="27"/>
        <v>982</v>
      </c>
      <c r="AT39" s="51"/>
      <c r="AU39" s="65"/>
      <c r="AV39" s="54">
        <v>185000</v>
      </c>
      <c r="AW39" s="55"/>
      <c r="AX39" s="56">
        <f t="shared" si="26"/>
        <v>11096</v>
      </c>
      <c r="AY39" s="88"/>
      <c r="AZ39" s="89">
        <v>-12830</v>
      </c>
      <c r="BA39" s="60"/>
      <c r="BB39" s="82"/>
      <c r="BC39" s="132"/>
      <c r="BD39" s="54">
        <f>223562-14000</f>
        <v>209562</v>
      </c>
      <c r="BE39" s="54"/>
      <c r="BF39" s="54"/>
      <c r="BG39" s="54">
        <f>(185000*1.04)-14000</f>
        <v>178400</v>
      </c>
      <c r="BH39" s="54"/>
      <c r="BI39" s="57">
        <v>230034</v>
      </c>
      <c r="BJ39" s="54"/>
      <c r="BK39" s="54">
        <v>215000</v>
      </c>
      <c r="BL39" s="54"/>
      <c r="BM39" s="58">
        <f t="shared" si="28"/>
        <v>36600</v>
      </c>
      <c r="BN39" s="58"/>
      <c r="BO39" s="66">
        <v>1341</v>
      </c>
      <c r="BP39" s="66"/>
      <c r="BQ39" s="66">
        <v>249773</v>
      </c>
      <c r="BR39" s="66"/>
      <c r="BS39" s="66">
        <f t="shared" si="1"/>
        <v>34773</v>
      </c>
      <c r="BT39" s="58"/>
      <c r="BU39" s="54">
        <v>200000</v>
      </c>
      <c r="BV39" s="58"/>
      <c r="BW39" s="58">
        <f t="shared" si="16"/>
        <v>-15000</v>
      </c>
      <c r="BX39" s="58"/>
      <c r="BY39" s="91" t="s">
        <v>258</v>
      </c>
      <c r="BZ39" s="66">
        <v>256487</v>
      </c>
      <c r="CA39" s="66"/>
      <c r="CB39" s="54">
        <f>200000*1.1</f>
        <v>220000.00000000003</v>
      </c>
      <c r="CC39" s="54"/>
      <c r="CD39" s="54">
        <f>200000*1.1</f>
        <v>220000.00000000003</v>
      </c>
      <c r="CE39" s="54"/>
      <c r="CF39" s="54">
        <f>220000*1.1</f>
        <v>242000.00000000003</v>
      </c>
      <c r="CG39" s="60"/>
      <c r="CH39" s="61">
        <f t="shared" si="4"/>
        <v>22000</v>
      </c>
      <c r="CI39" s="200"/>
      <c r="CJ39" s="306" t="s">
        <v>259</v>
      </c>
      <c r="CK39" s="346">
        <f t="shared" si="5"/>
        <v>20166.666666666668</v>
      </c>
    </row>
    <row r="40" spans="1:89" ht="18" customHeight="1" x14ac:dyDescent="0.2">
      <c r="A40" s="4"/>
      <c r="B40" s="27"/>
      <c r="C40" s="28" t="s">
        <v>18</v>
      </c>
      <c r="D40" s="28"/>
      <c r="E40" s="29"/>
      <c r="F40" s="28"/>
      <c r="G40" s="30">
        <v>52.08</v>
      </c>
      <c r="H40" s="31"/>
      <c r="I40" s="30">
        <v>5000</v>
      </c>
      <c r="J40" s="31"/>
      <c r="K40" s="30">
        <f>ROUND((G40-I40),5)</f>
        <v>-4947.92</v>
      </c>
      <c r="L40" s="31"/>
      <c r="M40" s="32">
        <f>ROUND(IF(I40=0, IF(G40=0, 0, 1), G40/I40),5)</f>
        <v>1.042E-2</v>
      </c>
      <c r="N40" s="31"/>
      <c r="O40" s="30">
        <v>0</v>
      </c>
      <c r="P40" s="31"/>
      <c r="Q40" s="30">
        <v>5000</v>
      </c>
      <c r="R40" s="31"/>
      <c r="S40" s="30">
        <f>ROUND((O40-Q40),5)</f>
        <v>-5000</v>
      </c>
      <c r="T40" s="31"/>
      <c r="U40" s="32">
        <f>ROUND(IF(Q40=0, IF(O40=0, 0, 1), O40/Q40),5)</f>
        <v>0</v>
      </c>
      <c r="V40" s="31"/>
      <c r="W40" s="33">
        <v>0</v>
      </c>
      <c r="X40" s="33"/>
      <c r="Y40" s="33">
        <v>5000</v>
      </c>
      <c r="Z40" s="33"/>
      <c r="AA40" s="33">
        <f>ROUND((W40-Y40),5)</f>
        <v>-5000</v>
      </c>
      <c r="AB40" s="33"/>
      <c r="AC40" s="33"/>
      <c r="AD40" s="34">
        <v>16198.91</v>
      </c>
      <c r="AE40" s="34"/>
      <c r="AF40" s="49"/>
      <c r="AG40" s="50"/>
      <c r="AH40" s="51">
        <v>0</v>
      </c>
      <c r="AI40" s="51"/>
      <c r="AJ40" s="51">
        <v>0</v>
      </c>
      <c r="AK40" s="51"/>
      <c r="AL40" s="51">
        <v>20000</v>
      </c>
      <c r="AM40" s="51"/>
      <c r="AN40" s="51">
        <v>52.08</v>
      </c>
      <c r="AO40" s="51"/>
      <c r="AP40" s="51">
        <f>ROUND(G40+O40+W40,5)</f>
        <v>52.08</v>
      </c>
      <c r="AQ40" s="51"/>
      <c r="AR40" s="51">
        <f>ROUND(I40+Q40+Y40,5)</f>
        <v>15000</v>
      </c>
      <c r="AS40" s="51">
        <f t="shared" si="27"/>
        <v>104.16</v>
      </c>
      <c r="AT40" s="51"/>
      <c r="AU40" s="65"/>
      <c r="AV40" s="54">
        <v>20000</v>
      </c>
      <c r="AW40" s="55"/>
      <c r="AX40" s="56">
        <f t="shared" si="26"/>
        <v>-19947.919999999998</v>
      </c>
      <c r="AY40" s="88"/>
      <c r="AZ40" s="89">
        <v>0</v>
      </c>
      <c r="BA40" s="54"/>
      <c r="BB40" s="82"/>
      <c r="BC40" s="60"/>
      <c r="BD40" s="54">
        <f t="shared" si="7"/>
        <v>0</v>
      </c>
      <c r="BE40" s="54"/>
      <c r="BF40" s="54"/>
      <c r="BG40" s="54">
        <v>20000</v>
      </c>
      <c r="BH40" s="54"/>
      <c r="BI40" s="54">
        <v>16420.18</v>
      </c>
      <c r="BJ40" s="54"/>
      <c r="BK40" s="54">
        <v>0</v>
      </c>
      <c r="BL40" s="54"/>
      <c r="BM40" s="58">
        <f t="shared" si="28"/>
        <v>-20000</v>
      </c>
      <c r="BN40" s="58"/>
      <c r="BO40" s="66">
        <v>0</v>
      </c>
      <c r="BP40" s="66"/>
      <c r="BQ40" s="66">
        <f t="shared" si="8"/>
        <v>0</v>
      </c>
      <c r="BR40" s="66"/>
      <c r="BS40" s="66">
        <f t="shared" si="1"/>
        <v>0</v>
      </c>
      <c r="BT40" s="58"/>
      <c r="BU40" s="54">
        <v>40000</v>
      </c>
      <c r="BV40" s="58"/>
      <c r="BW40" s="58">
        <f t="shared" si="16"/>
        <v>40000</v>
      </c>
      <c r="BX40" s="58"/>
      <c r="BY40" s="91" t="s">
        <v>260</v>
      </c>
      <c r="BZ40" s="66">
        <v>30708.27</v>
      </c>
      <c r="CA40" s="66"/>
      <c r="CB40" s="54">
        <v>0</v>
      </c>
      <c r="CC40" s="54"/>
      <c r="CD40" s="54">
        <v>0</v>
      </c>
      <c r="CE40" s="54"/>
      <c r="CF40" s="54">
        <v>20000</v>
      </c>
      <c r="CG40" s="60"/>
      <c r="CH40" s="61">
        <f t="shared" si="4"/>
        <v>20000</v>
      </c>
      <c r="CI40" s="200"/>
      <c r="CJ40" s="307" t="s">
        <v>261</v>
      </c>
      <c r="CK40" s="346">
        <f t="shared" si="5"/>
        <v>1666.6666666666667</v>
      </c>
    </row>
    <row r="41" spans="1:89" ht="15" hidden="1" customHeight="1" x14ac:dyDescent="0.2">
      <c r="A41" s="4"/>
      <c r="B41" s="27"/>
      <c r="C41" s="63"/>
      <c r="D41" s="28"/>
      <c r="E41" s="29"/>
      <c r="F41" s="28"/>
      <c r="G41" s="30"/>
      <c r="H41" s="31"/>
      <c r="I41" s="30"/>
      <c r="J41" s="31"/>
      <c r="K41" s="30"/>
      <c r="L41" s="31"/>
      <c r="M41" s="32"/>
      <c r="N41" s="31"/>
      <c r="O41" s="30"/>
      <c r="P41" s="31"/>
      <c r="Q41" s="30"/>
      <c r="R41" s="31"/>
      <c r="S41" s="30"/>
      <c r="T41" s="31"/>
      <c r="U41" s="32"/>
      <c r="V41" s="31"/>
      <c r="W41" s="33"/>
      <c r="X41" s="33"/>
      <c r="Y41" s="33"/>
      <c r="Z41" s="33"/>
      <c r="AA41" s="33"/>
      <c r="AB41" s="33"/>
      <c r="AC41" s="33"/>
      <c r="AD41" s="34"/>
      <c r="AE41" s="34"/>
      <c r="AF41" s="49"/>
      <c r="AG41" s="50"/>
      <c r="AH41" s="51"/>
      <c r="AI41" s="51"/>
      <c r="AJ41" s="51"/>
      <c r="AK41" s="51"/>
      <c r="AL41" s="51"/>
      <c r="AM41" s="51"/>
      <c r="AN41" s="52"/>
      <c r="AO41" s="51"/>
      <c r="AP41" s="51"/>
      <c r="AQ41" s="51"/>
      <c r="AR41" s="51"/>
      <c r="AS41" s="51">
        <f t="shared" si="27"/>
        <v>0</v>
      </c>
      <c r="AT41" s="51"/>
      <c r="AU41" s="65"/>
      <c r="AV41" s="54"/>
      <c r="AW41" s="55"/>
      <c r="AX41" s="56"/>
      <c r="AY41" s="88"/>
      <c r="AZ41" s="89"/>
      <c r="BA41" s="54"/>
      <c r="BB41" s="82"/>
      <c r="BC41" s="60"/>
      <c r="BD41" s="54"/>
      <c r="BE41" s="54"/>
      <c r="BF41" s="54"/>
      <c r="BG41" s="54"/>
      <c r="BH41" s="54"/>
      <c r="BI41" s="54"/>
      <c r="BJ41" s="54"/>
      <c r="BK41" s="54"/>
      <c r="BL41" s="54"/>
      <c r="BM41" s="58"/>
      <c r="BN41" s="58"/>
      <c r="BO41" s="113"/>
      <c r="BP41" s="113"/>
      <c r="BQ41" s="66"/>
      <c r="BR41" s="66"/>
      <c r="BS41" s="66"/>
      <c r="BT41" s="58"/>
      <c r="BU41" s="54"/>
      <c r="BV41" s="58"/>
      <c r="BW41" s="58">
        <f t="shared" si="16"/>
        <v>0</v>
      </c>
      <c r="BX41" s="58"/>
      <c r="BY41" s="91"/>
      <c r="BZ41" s="66"/>
      <c r="CA41" s="66"/>
      <c r="CB41" s="54"/>
      <c r="CC41" s="54"/>
      <c r="CD41" s="54"/>
      <c r="CE41" s="54"/>
      <c r="CF41" s="54"/>
      <c r="CG41" s="60"/>
      <c r="CH41" s="61">
        <f t="shared" si="4"/>
        <v>0</v>
      </c>
      <c r="CI41" s="200"/>
      <c r="CJ41" s="294"/>
      <c r="CK41" s="346">
        <f t="shared" si="5"/>
        <v>0</v>
      </c>
    </row>
    <row r="42" spans="1:89" ht="14.25" customHeight="1" x14ac:dyDescent="0.2">
      <c r="A42" s="4"/>
      <c r="B42" s="27"/>
      <c r="C42" s="28"/>
      <c r="D42" s="133" t="s">
        <v>20</v>
      </c>
      <c r="E42" s="134"/>
      <c r="F42" s="133"/>
      <c r="G42" s="135">
        <v>574.70000000000005</v>
      </c>
      <c r="H42" s="136"/>
      <c r="I42" s="135">
        <v>666.63</v>
      </c>
      <c r="J42" s="136"/>
      <c r="K42" s="135">
        <f>ROUND((G42-I42),5)</f>
        <v>-91.93</v>
      </c>
      <c r="L42" s="136"/>
      <c r="M42" s="137">
        <f>ROUND(IF(I42=0, IF(G42=0, 0, 1), G42/I42),5)</f>
        <v>0.86209999999999998</v>
      </c>
      <c r="N42" s="136"/>
      <c r="O42" s="135">
        <v>750.98</v>
      </c>
      <c r="P42" s="136"/>
      <c r="Q42" s="135">
        <v>666.67</v>
      </c>
      <c r="R42" s="136"/>
      <c r="S42" s="135">
        <f>ROUND((O42-Q42),5)</f>
        <v>84.31</v>
      </c>
      <c r="T42" s="136"/>
      <c r="U42" s="137">
        <f>ROUND(IF(Q42=0, IF(O42=0, 0, 1), O42/Q42),5)</f>
        <v>1.12646</v>
      </c>
      <c r="V42" s="136"/>
      <c r="W42" s="138">
        <v>616.78</v>
      </c>
      <c r="X42" s="138"/>
      <c r="Y42" s="138">
        <v>666.67</v>
      </c>
      <c r="Z42" s="138"/>
      <c r="AA42" s="138">
        <f>ROUND((W42-Y42),5)</f>
        <v>-49.89</v>
      </c>
      <c r="AB42" s="138"/>
      <c r="AC42" s="138"/>
      <c r="AD42" s="138"/>
      <c r="AE42" s="138"/>
      <c r="AF42" s="139"/>
      <c r="AG42" s="140"/>
      <c r="AH42" s="141"/>
      <c r="AI42" s="141"/>
      <c r="AJ42" s="141">
        <v>7499.17</v>
      </c>
      <c r="AK42" s="141"/>
      <c r="AL42" s="141">
        <v>8000</v>
      </c>
      <c r="AM42" s="141"/>
      <c r="AN42" s="140">
        <v>52.08</v>
      </c>
      <c r="AO42" s="141"/>
      <c r="AP42" s="141">
        <v>3716.87</v>
      </c>
      <c r="AQ42" s="141"/>
      <c r="AR42" s="141">
        <f>ROUND(I42+Q42+Y42,5)</f>
        <v>1999.97</v>
      </c>
      <c r="AS42" s="141">
        <f t="shared" si="27"/>
        <v>7433.74</v>
      </c>
      <c r="AT42" s="141"/>
      <c r="AU42" s="127"/>
      <c r="AV42" s="54">
        <v>7500</v>
      </c>
      <c r="AW42" s="55"/>
      <c r="AX42" s="56">
        <f t="shared" ref="AX42:AX82" si="29">AN42-AL42</f>
        <v>-7947.92</v>
      </c>
      <c r="AY42" s="88"/>
      <c r="AZ42" s="89">
        <v>3625.4</v>
      </c>
      <c r="BA42" s="54"/>
      <c r="BB42" s="82"/>
      <c r="BC42" s="60"/>
      <c r="BD42" s="54">
        <v>7941.57</v>
      </c>
      <c r="BE42" s="54"/>
      <c r="BF42" s="54"/>
      <c r="BG42" s="54">
        <v>7500</v>
      </c>
      <c r="BH42" s="54"/>
      <c r="BI42" s="57">
        <v>8497.9599999999991</v>
      </c>
      <c r="BJ42" s="54"/>
      <c r="BK42" s="54">
        <v>7500</v>
      </c>
      <c r="BL42" s="54"/>
      <c r="BM42" s="58">
        <f t="shared" si="28"/>
        <v>0</v>
      </c>
      <c r="BN42" s="58"/>
      <c r="BO42" s="66">
        <v>4257.71</v>
      </c>
      <c r="BP42" s="66"/>
      <c r="BQ42" s="66">
        <f t="shared" si="8"/>
        <v>8515.42</v>
      </c>
      <c r="BR42" s="66"/>
      <c r="BS42" s="66">
        <f t="shared" si="1"/>
        <v>1015.4200000000001</v>
      </c>
      <c r="BT42" s="58"/>
      <c r="BU42" s="54">
        <v>8500</v>
      </c>
      <c r="BV42" s="58"/>
      <c r="BW42" s="58">
        <f t="shared" si="16"/>
        <v>1000</v>
      </c>
      <c r="BX42" s="58"/>
      <c r="BY42" s="91" t="s">
        <v>262</v>
      </c>
      <c r="BZ42" s="66">
        <f t="shared" ref="BZ42:BZ78" si="30">BX42*2</f>
        <v>0</v>
      </c>
      <c r="CA42" s="66"/>
      <c r="CB42" s="54">
        <v>8500</v>
      </c>
      <c r="CC42" s="54"/>
      <c r="CD42" s="54">
        <v>8500</v>
      </c>
      <c r="CE42" s="54"/>
      <c r="CF42" s="54">
        <v>8500</v>
      </c>
      <c r="CG42" s="60"/>
      <c r="CH42" s="61">
        <f t="shared" si="4"/>
        <v>0</v>
      </c>
      <c r="CI42" s="200"/>
      <c r="CJ42" s="294"/>
      <c r="CK42" s="346">
        <f t="shared" si="5"/>
        <v>708.33333333333337</v>
      </c>
    </row>
    <row r="43" spans="1:89" ht="17.25" hidden="1" customHeight="1" x14ac:dyDescent="0.2">
      <c r="A43" s="4"/>
      <c r="B43" s="27"/>
      <c r="C43" s="28"/>
      <c r="D43" s="63"/>
      <c r="E43" s="29"/>
      <c r="F43" s="28"/>
      <c r="G43" s="30"/>
      <c r="H43" s="31"/>
      <c r="I43" s="30"/>
      <c r="J43" s="31"/>
      <c r="K43" s="30"/>
      <c r="L43" s="31"/>
      <c r="M43" s="32"/>
      <c r="N43" s="31"/>
      <c r="O43" s="30"/>
      <c r="P43" s="31"/>
      <c r="Q43" s="30"/>
      <c r="R43" s="31"/>
      <c r="S43" s="30"/>
      <c r="T43" s="31"/>
      <c r="U43" s="32"/>
      <c r="V43" s="31"/>
      <c r="W43" s="33"/>
      <c r="X43" s="33"/>
      <c r="Y43" s="33"/>
      <c r="Z43" s="33"/>
      <c r="AA43" s="33"/>
      <c r="AB43" s="33"/>
      <c r="AC43" s="33"/>
      <c r="AD43" s="34"/>
      <c r="AE43" s="34"/>
      <c r="AF43" s="49"/>
      <c r="AG43" s="50"/>
      <c r="AH43" s="51"/>
      <c r="AI43" s="51"/>
      <c r="AJ43" s="51"/>
      <c r="AK43" s="51"/>
      <c r="AL43" s="51"/>
      <c r="AM43" s="51"/>
      <c r="AN43" s="51"/>
      <c r="AO43" s="51"/>
      <c r="AP43" s="51"/>
      <c r="AQ43" s="51"/>
      <c r="AR43" s="51"/>
      <c r="AS43" s="51">
        <f t="shared" si="27"/>
        <v>0</v>
      </c>
      <c r="AT43" s="51"/>
      <c r="AU43" s="65"/>
      <c r="AV43" s="54"/>
      <c r="AW43" s="55"/>
      <c r="AX43" s="56">
        <f t="shared" si="29"/>
        <v>0</v>
      </c>
      <c r="AY43" s="88"/>
      <c r="AZ43" s="89"/>
      <c r="BA43" s="54"/>
      <c r="BB43" s="82"/>
      <c r="BC43" s="60"/>
      <c r="BD43" s="54">
        <f t="shared" si="7"/>
        <v>0</v>
      </c>
      <c r="BE43" s="54"/>
      <c r="BF43" s="54"/>
      <c r="BG43" s="54"/>
      <c r="BH43" s="54"/>
      <c r="BI43" s="57"/>
      <c r="BJ43" s="54"/>
      <c r="BK43" s="54"/>
      <c r="BL43" s="54"/>
      <c r="BM43" s="58">
        <f t="shared" ref="BM43:BM49" si="31">BK43-AV43</f>
        <v>0</v>
      </c>
      <c r="BN43" s="58"/>
      <c r="BO43" s="66">
        <v>4257.71</v>
      </c>
      <c r="BP43" s="66"/>
      <c r="BQ43" s="66">
        <f t="shared" si="8"/>
        <v>8515.42</v>
      </c>
      <c r="BR43" s="66"/>
      <c r="BS43" s="66">
        <f t="shared" si="1"/>
        <v>8515.42</v>
      </c>
      <c r="BT43" s="58"/>
      <c r="BU43" s="54">
        <f t="shared" ref="BU43:BU49" si="32">BM43-AX43</f>
        <v>0</v>
      </c>
      <c r="BV43" s="58"/>
      <c r="BW43" s="58">
        <f t="shared" si="16"/>
        <v>0</v>
      </c>
      <c r="BX43" s="58"/>
      <c r="BY43" s="91"/>
      <c r="BZ43" s="66">
        <f t="shared" si="30"/>
        <v>0</v>
      </c>
      <c r="CA43" s="66"/>
      <c r="CB43" s="54">
        <f t="shared" ref="CB43:CB49" si="33">BS43-BD43</f>
        <v>8515.42</v>
      </c>
      <c r="CC43" s="54"/>
      <c r="CD43" s="54">
        <f t="shared" ref="CD43:CD49" si="34">BT43-BE43</f>
        <v>0</v>
      </c>
      <c r="CE43" s="54"/>
      <c r="CF43" s="54">
        <f t="shared" ref="CF43:CF49" si="35">BU43-BF43</f>
        <v>0</v>
      </c>
      <c r="CG43" s="60"/>
      <c r="CH43" s="61">
        <f t="shared" si="4"/>
        <v>-8515.42</v>
      </c>
      <c r="CI43" s="200"/>
      <c r="CJ43" s="294"/>
      <c r="CK43" s="346">
        <f t="shared" si="5"/>
        <v>0</v>
      </c>
    </row>
    <row r="44" spans="1:89" ht="17.25" hidden="1" customHeight="1" x14ac:dyDescent="0.2">
      <c r="A44" s="4"/>
      <c r="B44" s="27"/>
      <c r="C44" s="28"/>
      <c r="D44" s="28"/>
      <c r="E44" s="29" t="s">
        <v>23</v>
      </c>
      <c r="F44" s="28"/>
      <c r="G44" s="30">
        <v>0</v>
      </c>
      <c r="H44" s="31"/>
      <c r="I44" s="30">
        <v>1666.63</v>
      </c>
      <c r="J44" s="31"/>
      <c r="K44" s="30">
        <f>ROUND((G44-I44),5)</f>
        <v>-1666.63</v>
      </c>
      <c r="L44" s="31"/>
      <c r="M44" s="32">
        <f>ROUND(IF(I44=0, IF(G44=0, 0, 1), G44/I44),5)</f>
        <v>0</v>
      </c>
      <c r="N44" s="31"/>
      <c r="O44" s="30">
        <v>1579.34</v>
      </c>
      <c r="P44" s="31"/>
      <c r="Q44" s="30">
        <v>1666.67</v>
      </c>
      <c r="R44" s="31"/>
      <c r="S44" s="30">
        <f>ROUND((O44-Q44),5)</f>
        <v>-87.33</v>
      </c>
      <c r="T44" s="31"/>
      <c r="U44" s="32">
        <f>ROUND(IF(Q44=0, IF(O44=0, 0, 1), O44/Q44),5)</f>
        <v>0.9476</v>
      </c>
      <c r="V44" s="31"/>
      <c r="W44" s="33">
        <v>1563.37</v>
      </c>
      <c r="X44" s="33"/>
      <c r="Y44" s="33">
        <v>1666.67</v>
      </c>
      <c r="Z44" s="33"/>
      <c r="AA44" s="33">
        <f>ROUND((W44-Y44),5)</f>
        <v>-103.3</v>
      </c>
      <c r="AB44" s="33"/>
      <c r="AC44" s="33"/>
      <c r="AD44" s="34"/>
      <c r="AE44" s="34"/>
      <c r="AF44" s="49"/>
      <c r="AG44" s="50"/>
      <c r="AH44" s="51">
        <v>22026.84</v>
      </c>
      <c r="AI44" s="51"/>
      <c r="AJ44" s="51">
        <v>22026.84</v>
      </c>
      <c r="AK44" s="51"/>
      <c r="AL44" s="51">
        <v>20000</v>
      </c>
      <c r="AM44" s="51"/>
      <c r="AN44" s="51">
        <f t="shared" ref="AN44:AN49" si="36">AP44*4</f>
        <v>12570.84</v>
      </c>
      <c r="AO44" s="51"/>
      <c r="AP44" s="51">
        <f>ROUND(G44+O44+W44,5)</f>
        <v>3142.71</v>
      </c>
      <c r="AQ44" s="51"/>
      <c r="AR44" s="51">
        <f>ROUND(I44+Q44+Y44,5)</f>
        <v>4999.97</v>
      </c>
      <c r="AS44" s="51">
        <f t="shared" si="27"/>
        <v>6285.42</v>
      </c>
      <c r="AT44" s="51"/>
      <c r="AU44" s="65"/>
      <c r="AV44" s="54"/>
      <c r="AW44" s="55"/>
      <c r="AX44" s="56">
        <f t="shared" si="29"/>
        <v>-7429.16</v>
      </c>
      <c r="AY44" s="88"/>
      <c r="AZ44" s="89">
        <v>9122.9</v>
      </c>
      <c r="BA44" s="54"/>
      <c r="BB44" s="82"/>
      <c r="BC44" s="60"/>
      <c r="BD44" s="54">
        <f t="shared" si="7"/>
        <v>18245.8</v>
      </c>
      <c r="BE44" s="54"/>
      <c r="BF44" s="54"/>
      <c r="BG44" s="54"/>
      <c r="BH44" s="54"/>
      <c r="BI44" s="57"/>
      <c r="BJ44" s="54"/>
      <c r="BK44" s="54"/>
      <c r="BL44" s="54"/>
      <c r="BM44" s="58">
        <f t="shared" si="31"/>
        <v>0</v>
      </c>
      <c r="BN44" s="58"/>
      <c r="BO44" s="66"/>
      <c r="BP44" s="66"/>
      <c r="BQ44" s="66">
        <f t="shared" si="8"/>
        <v>0</v>
      </c>
      <c r="BR44" s="66"/>
      <c r="BS44" s="66">
        <f t="shared" si="1"/>
        <v>0</v>
      </c>
      <c r="BT44" s="58"/>
      <c r="BU44" s="54">
        <f t="shared" si="32"/>
        <v>7429.16</v>
      </c>
      <c r="BV44" s="58"/>
      <c r="BW44" s="58">
        <f t="shared" si="16"/>
        <v>7429.16</v>
      </c>
      <c r="BX44" s="58"/>
      <c r="BY44" s="91"/>
      <c r="BZ44" s="66">
        <f t="shared" si="30"/>
        <v>0</v>
      </c>
      <c r="CA44" s="66"/>
      <c r="CB44" s="54">
        <f t="shared" si="33"/>
        <v>-18245.8</v>
      </c>
      <c r="CC44" s="54"/>
      <c r="CD44" s="54">
        <f t="shared" si="34"/>
        <v>0</v>
      </c>
      <c r="CE44" s="54"/>
      <c r="CF44" s="54">
        <f t="shared" si="35"/>
        <v>7429.16</v>
      </c>
      <c r="CG44" s="60"/>
      <c r="CH44" s="61">
        <f t="shared" si="4"/>
        <v>25674.959999999999</v>
      </c>
      <c r="CI44" s="200"/>
      <c r="CJ44" s="294"/>
      <c r="CK44" s="346">
        <f t="shared" si="5"/>
        <v>619.09666666666669</v>
      </c>
    </row>
    <row r="45" spans="1:89" ht="17.25" hidden="1" customHeight="1" x14ac:dyDescent="0.2">
      <c r="A45" s="4"/>
      <c r="B45" s="27"/>
      <c r="C45" s="28"/>
      <c r="D45" s="28"/>
      <c r="E45" s="29" t="s">
        <v>24</v>
      </c>
      <c r="F45" s="28"/>
      <c r="G45" s="30">
        <v>0</v>
      </c>
      <c r="H45" s="31"/>
      <c r="I45" s="30">
        <v>666.63</v>
      </c>
      <c r="J45" s="31"/>
      <c r="K45" s="30">
        <f>ROUND((G45-I45),5)</f>
        <v>-666.63</v>
      </c>
      <c r="L45" s="31"/>
      <c r="M45" s="32">
        <f>ROUND(IF(I45=0, IF(G45=0, 0, 1), G45/I45),5)</f>
        <v>0</v>
      </c>
      <c r="N45" s="31"/>
      <c r="O45" s="30">
        <v>1013.49</v>
      </c>
      <c r="P45" s="31"/>
      <c r="Q45" s="30">
        <v>666.67</v>
      </c>
      <c r="R45" s="31"/>
      <c r="S45" s="30">
        <f>ROUND((O45-Q45),5)</f>
        <v>346.82</v>
      </c>
      <c r="T45" s="31"/>
      <c r="U45" s="32">
        <f>ROUND(IF(Q45=0, IF(O45=0, 0, 1), O45/Q45),5)</f>
        <v>1.52023</v>
      </c>
      <c r="V45" s="31"/>
      <c r="W45" s="33">
        <v>1046.42</v>
      </c>
      <c r="X45" s="33"/>
      <c r="Y45" s="33">
        <v>666.67</v>
      </c>
      <c r="Z45" s="33"/>
      <c r="AA45" s="33">
        <f>ROUND((W45-Y45),5)</f>
        <v>379.75</v>
      </c>
      <c r="AB45" s="33"/>
      <c r="AC45" s="33"/>
      <c r="AD45" s="34"/>
      <c r="AE45" s="34"/>
      <c r="AF45" s="49"/>
      <c r="AG45" s="50"/>
      <c r="AH45" s="51">
        <v>11144.6</v>
      </c>
      <c r="AI45" s="51"/>
      <c r="AJ45" s="51">
        <v>11144.6</v>
      </c>
      <c r="AK45" s="51"/>
      <c r="AL45" s="51">
        <v>8000</v>
      </c>
      <c r="AM45" s="51"/>
      <c r="AN45" s="51">
        <f t="shared" si="36"/>
        <v>8239.64</v>
      </c>
      <c r="AO45" s="51"/>
      <c r="AP45" s="51">
        <f>ROUND(G45+O45+W45,5)</f>
        <v>2059.91</v>
      </c>
      <c r="AQ45" s="51"/>
      <c r="AR45" s="51">
        <f>ROUND(I45+Q45+Y45,5)</f>
        <v>1999.97</v>
      </c>
      <c r="AS45" s="51">
        <f t="shared" si="27"/>
        <v>4119.82</v>
      </c>
      <c r="AT45" s="51"/>
      <c r="AU45" s="65"/>
      <c r="AV45" s="54"/>
      <c r="AW45" s="55"/>
      <c r="AX45" s="56">
        <f t="shared" si="29"/>
        <v>239.63999999999942</v>
      </c>
      <c r="AY45" s="88"/>
      <c r="AZ45" s="89">
        <v>4314.83</v>
      </c>
      <c r="BA45" s="54"/>
      <c r="BB45" s="82"/>
      <c r="BC45" s="60"/>
      <c r="BD45" s="54">
        <f t="shared" si="7"/>
        <v>8629.66</v>
      </c>
      <c r="BE45" s="54"/>
      <c r="BF45" s="54"/>
      <c r="BG45" s="54"/>
      <c r="BH45" s="54"/>
      <c r="BI45" s="57"/>
      <c r="BJ45" s="54"/>
      <c r="BK45" s="54"/>
      <c r="BL45" s="54"/>
      <c r="BM45" s="58">
        <f t="shared" si="31"/>
        <v>0</v>
      </c>
      <c r="BN45" s="58"/>
      <c r="BO45" s="66">
        <v>8945.7199999999993</v>
      </c>
      <c r="BP45" s="66"/>
      <c r="BQ45" s="66">
        <f t="shared" si="8"/>
        <v>17891.439999999999</v>
      </c>
      <c r="BR45" s="66"/>
      <c r="BS45" s="66">
        <f t="shared" si="1"/>
        <v>17891.439999999999</v>
      </c>
      <c r="BT45" s="58"/>
      <c r="BU45" s="54">
        <f t="shared" si="32"/>
        <v>-239.63999999999942</v>
      </c>
      <c r="BV45" s="58"/>
      <c r="BW45" s="58">
        <f t="shared" si="16"/>
        <v>-239.63999999999942</v>
      </c>
      <c r="BX45" s="58"/>
      <c r="BY45" s="91"/>
      <c r="BZ45" s="66">
        <f t="shared" si="30"/>
        <v>0</v>
      </c>
      <c r="CA45" s="66"/>
      <c r="CB45" s="54">
        <f t="shared" si="33"/>
        <v>9261.7799999999988</v>
      </c>
      <c r="CC45" s="54"/>
      <c r="CD45" s="54">
        <f t="shared" si="34"/>
        <v>0</v>
      </c>
      <c r="CE45" s="54"/>
      <c r="CF45" s="54">
        <f t="shared" si="35"/>
        <v>-239.63999999999942</v>
      </c>
      <c r="CG45" s="60"/>
      <c r="CH45" s="61">
        <f t="shared" si="4"/>
        <v>-9501.4199999999983</v>
      </c>
      <c r="CI45" s="200"/>
      <c r="CJ45" s="294"/>
      <c r="CK45" s="346">
        <f t="shared" si="5"/>
        <v>-19.969999999999953</v>
      </c>
    </row>
    <row r="46" spans="1:89" ht="17.25" hidden="1" customHeight="1" x14ac:dyDescent="0.2">
      <c r="A46" s="4"/>
      <c r="B46" s="27"/>
      <c r="C46" s="28"/>
      <c r="D46" s="28"/>
      <c r="E46" s="29" t="s">
        <v>25</v>
      </c>
      <c r="F46" s="28"/>
      <c r="G46" s="30"/>
      <c r="H46" s="31"/>
      <c r="I46" s="30"/>
      <c r="J46" s="31"/>
      <c r="K46" s="30"/>
      <c r="L46" s="31"/>
      <c r="M46" s="32"/>
      <c r="N46" s="31"/>
      <c r="O46" s="30"/>
      <c r="P46" s="31"/>
      <c r="Q46" s="30"/>
      <c r="R46" s="31"/>
      <c r="S46" s="30"/>
      <c r="T46" s="31"/>
      <c r="U46" s="32"/>
      <c r="V46" s="31"/>
      <c r="W46" s="33"/>
      <c r="X46" s="33"/>
      <c r="Y46" s="33"/>
      <c r="Z46" s="33"/>
      <c r="AA46" s="33"/>
      <c r="AB46" s="33"/>
      <c r="AC46" s="33"/>
      <c r="AD46" s="34"/>
      <c r="AE46" s="34"/>
      <c r="AF46" s="49"/>
      <c r="AG46" s="50"/>
      <c r="AH46" s="51"/>
      <c r="AI46" s="51"/>
      <c r="AJ46" s="51"/>
      <c r="AK46" s="51"/>
      <c r="AL46" s="51"/>
      <c r="AM46" s="51"/>
      <c r="AN46" s="51">
        <f t="shared" si="36"/>
        <v>0</v>
      </c>
      <c r="AO46" s="51"/>
      <c r="AP46" s="51"/>
      <c r="AQ46" s="51"/>
      <c r="AR46" s="51"/>
      <c r="AS46" s="51">
        <f t="shared" si="27"/>
        <v>0</v>
      </c>
      <c r="AT46" s="51"/>
      <c r="AU46" s="65"/>
      <c r="AV46" s="54"/>
      <c r="AW46" s="55"/>
      <c r="AX46" s="56">
        <f t="shared" si="29"/>
        <v>0</v>
      </c>
      <c r="AY46" s="88"/>
      <c r="AZ46" s="89"/>
      <c r="BA46" s="54"/>
      <c r="BB46" s="82"/>
      <c r="BC46" s="60"/>
      <c r="BD46" s="54">
        <f t="shared" si="7"/>
        <v>0</v>
      </c>
      <c r="BE46" s="54"/>
      <c r="BF46" s="54"/>
      <c r="BG46" s="54"/>
      <c r="BH46" s="54"/>
      <c r="BI46" s="57"/>
      <c r="BJ46" s="54"/>
      <c r="BK46" s="54"/>
      <c r="BL46" s="54"/>
      <c r="BM46" s="58">
        <f t="shared" si="31"/>
        <v>0</v>
      </c>
      <c r="BN46" s="58"/>
      <c r="BO46" s="66">
        <v>5294.26</v>
      </c>
      <c r="BP46" s="66"/>
      <c r="BQ46" s="66">
        <f t="shared" si="8"/>
        <v>10588.52</v>
      </c>
      <c r="BR46" s="66"/>
      <c r="BS46" s="66">
        <f t="shared" si="1"/>
        <v>10588.52</v>
      </c>
      <c r="BT46" s="58"/>
      <c r="BU46" s="54">
        <f t="shared" si="32"/>
        <v>0</v>
      </c>
      <c r="BV46" s="58"/>
      <c r="BW46" s="58">
        <f t="shared" si="16"/>
        <v>0</v>
      </c>
      <c r="BX46" s="58"/>
      <c r="BY46" s="91"/>
      <c r="BZ46" s="66">
        <f t="shared" si="30"/>
        <v>0</v>
      </c>
      <c r="CA46" s="66"/>
      <c r="CB46" s="54">
        <f t="shared" si="33"/>
        <v>10588.52</v>
      </c>
      <c r="CC46" s="54"/>
      <c r="CD46" s="54">
        <f t="shared" si="34"/>
        <v>0</v>
      </c>
      <c r="CE46" s="54"/>
      <c r="CF46" s="54">
        <f t="shared" si="35"/>
        <v>0</v>
      </c>
      <c r="CG46" s="60"/>
      <c r="CH46" s="61">
        <f t="shared" si="4"/>
        <v>-10588.52</v>
      </c>
      <c r="CI46" s="200"/>
      <c r="CJ46" s="294"/>
      <c r="CK46" s="346">
        <f t="shared" si="5"/>
        <v>0</v>
      </c>
    </row>
    <row r="47" spans="1:89" ht="17.25" hidden="1" customHeight="1" x14ac:dyDescent="0.2">
      <c r="A47" s="4"/>
      <c r="B47" s="27"/>
      <c r="C47" s="28"/>
      <c r="D47" s="28"/>
      <c r="E47" s="29"/>
      <c r="F47" s="28" t="s">
        <v>26</v>
      </c>
      <c r="G47" s="30">
        <v>1333.2</v>
      </c>
      <c r="H47" s="31"/>
      <c r="I47" s="30">
        <v>1916.63</v>
      </c>
      <c r="J47" s="31"/>
      <c r="K47" s="30">
        <f>ROUND((G47-I47),5)</f>
        <v>-583.42999999999995</v>
      </c>
      <c r="L47" s="31"/>
      <c r="M47" s="32">
        <f>ROUND(IF(I47=0, IF(G47=0, 0, 1), G47/I47),5)</f>
        <v>0.6956</v>
      </c>
      <c r="N47" s="31"/>
      <c r="O47" s="30">
        <v>1226.67</v>
      </c>
      <c r="P47" s="31"/>
      <c r="Q47" s="30">
        <v>1916.67</v>
      </c>
      <c r="R47" s="31"/>
      <c r="S47" s="30">
        <f>ROUND((O47-Q47),5)</f>
        <v>-690</v>
      </c>
      <c r="T47" s="31"/>
      <c r="U47" s="32">
        <f>ROUND(IF(Q47=0, IF(O47=0, 0, 1), O47/Q47),5)</f>
        <v>0.64</v>
      </c>
      <c r="V47" s="31"/>
      <c r="W47" s="33">
        <v>1788.56</v>
      </c>
      <c r="X47" s="33"/>
      <c r="Y47" s="33">
        <v>1916.67</v>
      </c>
      <c r="Z47" s="33"/>
      <c r="AA47" s="33">
        <f>ROUND((W47-Y47),5)</f>
        <v>-128.11000000000001</v>
      </c>
      <c r="AB47" s="33"/>
      <c r="AC47" s="33"/>
      <c r="AD47" s="34"/>
      <c r="AE47" s="34"/>
      <c r="AF47" s="49"/>
      <c r="AG47" s="50"/>
      <c r="AH47" s="51">
        <v>20169.79</v>
      </c>
      <c r="AI47" s="51"/>
      <c r="AJ47" s="51">
        <v>20169.79</v>
      </c>
      <c r="AK47" s="51"/>
      <c r="AL47" s="51">
        <v>23000</v>
      </c>
      <c r="AM47" s="51"/>
      <c r="AN47" s="51">
        <f t="shared" si="36"/>
        <v>21093.600000000002</v>
      </c>
      <c r="AO47" s="51"/>
      <c r="AP47" s="51">
        <f>ROUND(G47+O47+W47,5)+924.97</f>
        <v>5273.4000000000005</v>
      </c>
      <c r="AQ47" s="51"/>
      <c r="AR47" s="51">
        <f>ROUND(I47+Q47+Y47,5)</f>
        <v>5749.97</v>
      </c>
      <c r="AS47" s="51">
        <f t="shared" si="27"/>
        <v>10546.800000000001</v>
      </c>
      <c r="AT47" s="51"/>
      <c r="AU47" s="65"/>
      <c r="AV47" s="54"/>
      <c r="AW47" s="55"/>
      <c r="AX47" s="56">
        <f t="shared" si="29"/>
        <v>-1906.3999999999978</v>
      </c>
      <c r="AY47" s="88"/>
      <c r="AZ47" s="89">
        <v>10358.870000000001</v>
      </c>
      <c r="BA47" s="54"/>
      <c r="BB47" s="82"/>
      <c r="BC47" s="60"/>
      <c r="BD47" s="54">
        <f t="shared" si="7"/>
        <v>20717.740000000002</v>
      </c>
      <c r="BE47" s="54"/>
      <c r="BF47" s="54"/>
      <c r="BG47" s="54"/>
      <c r="BH47" s="54"/>
      <c r="BI47" s="57"/>
      <c r="BJ47" s="54"/>
      <c r="BK47" s="54"/>
      <c r="BL47" s="54"/>
      <c r="BM47" s="58">
        <f t="shared" si="31"/>
        <v>0</v>
      </c>
      <c r="BN47" s="58"/>
      <c r="BO47" s="66"/>
      <c r="BP47" s="66"/>
      <c r="BQ47" s="66">
        <f t="shared" si="8"/>
        <v>0</v>
      </c>
      <c r="BR47" s="66"/>
      <c r="BS47" s="66">
        <f t="shared" si="1"/>
        <v>0</v>
      </c>
      <c r="BT47" s="58"/>
      <c r="BU47" s="54">
        <f t="shared" si="32"/>
        <v>1906.3999999999978</v>
      </c>
      <c r="BV47" s="58"/>
      <c r="BW47" s="58">
        <f t="shared" si="16"/>
        <v>1906.3999999999978</v>
      </c>
      <c r="BX47" s="58"/>
      <c r="BY47" s="91"/>
      <c r="BZ47" s="66">
        <f t="shared" si="30"/>
        <v>0</v>
      </c>
      <c r="CA47" s="66"/>
      <c r="CB47" s="54">
        <f t="shared" si="33"/>
        <v>-20717.740000000002</v>
      </c>
      <c r="CC47" s="54"/>
      <c r="CD47" s="54">
        <f t="shared" si="34"/>
        <v>0</v>
      </c>
      <c r="CE47" s="54"/>
      <c r="CF47" s="54">
        <f t="shared" si="35"/>
        <v>1906.3999999999978</v>
      </c>
      <c r="CG47" s="60"/>
      <c r="CH47" s="61">
        <f t="shared" si="4"/>
        <v>22624.14</v>
      </c>
      <c r="CI47" s="200"/>
      <c r="CJ47" s="294"/>
      <c r="CK47" s="346">
        <f t="shared" si="5"/>
        <v>158.86666666666648</v>
      </c>
    </row>
    <row r="48" spans="1:89" ht="17.25" hidden="1" customHeight="1" thickBot="1" x14ac:dyDescent="0.25">
      <c r="A48" s="4"/>
      <c r="B48" s="27"/>
      <c r="C48" s="28"/>
      <c r="D48" s="28"/>
      <c r="E48" s="29"/>
      <c r="F48" s="142" t="s">
        <v>27</v>
      </c>
      <c r="G48" s="68">
        <v>0</v>
      </c>
      <c r="H48" s="143"/>
      <c r="I48" s="68">
        <v>416.63</v>
      </c>
      <c r="J48" s="143"/>
      <c r="K48" s="68">
        <f>ROUND((G48-I48),5)</f>
        <v>-416.63</v>
      </c>
      <c r="L48" s="143"/>
      <c r="M48" s="69">
        <f>ROUND(IF(I48=0, IF(G48=0, 0, 1), G48/I48),5)</f>
        <v>0</v>
      </c>
      <c r="N48" s="143"/>
      <c r="O48" s="68">
        <v>316.44</v>
      </c>
      <c r="P48" s="143"/>
      <c r="Q48" s="68">
        <v>416.67</v>
      </c>
      <c r="R48" s="143"/>
      <c r="S48" s="68">
        <f>ROUND((O48-Q48),5)</f>
        <v>-100.23</v>
      </c>
      <c r="T48" s="143"/>
      <c r="U48" s="69">
        <f>ROUND(IF(Q48=0, IF(O48=0, 0, 1), O48/Q48),5)</f>
        <v>0.75944999999999996</v>
      </c>
      <c r="V48" s="143"/>
      <c r="W48" s="70">
        <v>0</v>
      </c>
      <c r="X48" s="70"/>
      <c r="Y48" s="70">
        <v>416.67</v>
      </c>
      <c r="Z48" s="70"/>
      <c r="AA48" s="70">
        <f>ROUND((W48-Y48),5)</f>
        <v>-416.67</v>
      </c>
      <c r="AB48" s="70"/>
      <c r="AC48" s="70"/>
      <c r="AD48" s="48"/>
      <c r="AE48" s="48"/>
      <c r="AF48" s="49"/>
      <c r="AG48" s="50"/>
      <c r="AH48" s="51">
        <v>4459.51</v>
      </c>
      <c r="AI48" s="51"/>
      <c r="AJ48" s="51">
        <v>4459.51</v>
      </c>
      <c r="AK48" s="51"/>
      <c r="AL48" s="51">
        <v>5000</v>
      </c>
      <c r="AM48" s="51"/>
      <c r="AN48" s="51">
        <f t="shared" si="36"/>
        <v>1265.76</v>
      </c>
      <c r="AO48" s="51"/>
      <c r="AP48" s="51">
        <f>ROUND(G48+O48+W48,5)</f>
        <v>316.44</v>
      </c>
      <c r="AQ48" s="51"/>
      <c r="AR48" s="51">
        <f>ROUND(I48+Q48+Y48,5)</f>
        <v>1249.97</v>
      </c>
      <c r="AS48" s="51">
        <f t="shared" si="27"/>
        <v>632.88</v>
      </c>
      <c r="AT48" s="51"/>
      <c r="AU48" s="65"/>
      <c r="AV48" s="54"/>
      <c r="AW48" s="55"/>
      <c r="AX48" s="56">
        <f t="shared" si="29"/>
        <v>-3734.24</v>
      </c>
      <c r="AY48" s="88"/>
      <c r="AZ48" s="97">
        <v>1064.77</v>
      </c>
      <c r="BA48" s="54"/>
      <c r="BB48" s="82"/>
      <c r="BC48" s="60"/>
      <c r="BD48" s="54">
        <f t="shared" si="7"/>
        <v>2129.54</v>
      </c>
      <c r="BE48" s="54"/>
      <c r="BF48" s="54"/>
      <c r="BG48" s="54"/>
      <c r="BH48" s="54"/>
      <c r="BI48" s="57"/>
      <c r="BJ48" s="54"/>
      <c r="BK48" s="54"/>
      <c r="BL48" s="54"/>
      <c r="BM48" s="58">
        <f t="shared" si="31"/>
        <v>0</v>
      </c>
      <c r="BN48" s="58"/>
      <c r="BO48" s="66">
        <v>7127.23</v>
      </c>
      <c r="BP48" s="66"/>
      <c r="BQ48" s="66">
        <f t="shared" si="8"/>
        <v>14254.46</v>
      </c>
      <c r="BR48" s="66"/>
      <c r="BS48" s="66">
        <f t="shared" si="1"/>
        <v>14254.46</v>
      </c>
      <c r="BT48" s="58"/>
      <c r="BU48" s="54">
        <f t="shared" si="32"/>
        <v>3734.24</v>
      </c>
      <c r="BV48" s="58"/>
      <c r="BW48" s="58">
        <f t="shared" si="16"/>
        <v>3734.24</v>
      </c>
      <c r="BX48" s="58"/>
      <c r="BY48" s="91"/>
      <c r="BZ48" s="66">
        <f t="shared" si="30"/>
        <v>0</v>
      </c>
      <c r="CA48" s="66"/>
      <c r="CB48" s="54">
        <f t="shared" si="33"/>
        <v>12124.919999999998</v>
      </c>
      <c r="CC48" s="54"/>
      <c r="CD48" s="54">
        <f t="shared" si="34"/>
        <v>0</v>
      </c>
      <c r="CE48" s="54"/>
      <c r="CF48" s="54">
        <f t="shared" si="35"/>
        <v>3734.24</v>
      </c>
      <c r="CG48" s="60"/>
      <c r="CH48" s="61">
        <f t="shared" si="4"/>
        <v>-8390.6799999999985</v>
      </c>
      <c r="CI48" s="200"/>
      <c r="CJ48" s="294"/>
      <c r="CK48" s="346">
        <f t="shared" si="5"/>
        <v>311.18666666666667</v>
      </c>
    </row>
    <row r="49" spans="1:89" ht="30" hidden="1" customHeight="1" thickBot="1" x14ac:dyDescent="0.25">
      <c r="A49" s="4"/>
      <c r="B49" s="27"/>
      <c r="C49" s="28"/>
      <c r="D49" s="28"/>
      <c r="E49" s="29" t="s">
        <v>28</v>
      </c>
      <c r="F49" s="28"/>
      <c r="G49" s="30">
        <f>ROUND(SUM(G46:G48),5)</f>
        <v>1333.2</v>
      </c>
      <c r="H49" s="31"/>
      <c r="I49" s="30">
        <f>ROUND(SUM(I46:I48),5)</f>
        <v>2333.2600000000002</v>
      </c>
      <c r="J49" s="31"/>
      <c r="K49" s="30">
        <f>ROUND((G49-I49),5)</f>
        <v>-1000.06</v>
      </c>
      <c r="L49" s="31"/>
      <c r="M49" s="32">
        <f>ROUND(IF(I49=0, IF(G49=0, 0, 1), G49/I49),5)</f>
        <v>0.57138999999999995</v>
      </c>
      <c r="N49" s="31"/>
      <c r="O49" s="30">
        <f>ROUND(SUM(O46:O48),5)</f>
        <v>1543.11</v>
      </c>
      <c r="P49" s="31"/>
      <c r="Q49" s="30">
        <f>ROUND(SUM(Q46:Q48),5)</f>
        <v>2333.34</v>
      </c>
      <c r="R49" s="31"/>
      <c r="S49" s="30">
        <f>ROUND((O49-Q49),5)</f>
        <v>-790.23</v>
      </c>
      <c r="T49" s="31"/>
      <c r="U49" s="32">
        <f>ROUND(IF(Q49=0, IF(O49=0, 0, 1), O49/Q49),5)</f>
        <v>0.66132999999999997</v>
      </c>
      <c r="V49" s="31"/>
      <c r="W49" s="70">
        <f>ROUND(SUM(W46:W48),5)</f>
        <v>1788.56</v>
      </c>
      <c r="X49" s="70"/>
      <c r="Y49" s="70">
        <f>ROUND(SUM(Y46:Y48),5)</f>
        <v>2333.34</v>
      </c>
      <c r="Z49" s="70"/>
      <c r="AA49" s="70">
        <f>ROUND((W49-Y49),5)</f>
        <v>-544.78</v>
      </c>
      <c r="AB49" s="70"/>
      <c r="AC49" s="70"/>
      <c r="AD49" s="48"/>
      <c r="AE49" s="48"/>
      <c r="AF49" s="49"/>
      <c r="AG49" s="50"/>
      <c r="AH49" s="51">
        <f>AH48+AH47</f>
        <v>24629.300000000003</v>
      </c>
      <c r="AI49" s="51"/>
      <c r="AJ49" s="51">
        <v>24629.300000000003</v>
      </c>
      <c r="AK49" s="51"/>
      <c r="AL49" s="51">
        <v>28000</v>
      </c>
      <c r="AM49" s="51"/>
      <c r="AN49" s="51">
        <f t="shared" si="36"/>
        <v>18659.48</v>
      </c>
      <c r="AO49" s="51"/>
      <c r="AP49" s="51">
        <f>ROUND(G49+O49+W49,5)</f>
        <v>4664.87</v>
      </c>
      <c r="AQ49" s="51"/>
      <c r="AR49" s="51">
        <f>ROUND(I49+Q49+Y49,5)</f>
        <v>6999.94</v>
      </c>
      <c r="AS49" s="51">
        <f t="shared" si="27"/>
        <v>9329.74</v>
      </c>
      <c r="AT49" s="51"/>
      <c r="AU49" s="65"/>
      <c r="AV49" s="54"/>
      <c r="AW49" s="55"/>
      <c r="AX49" s="56">
        <f t="shared" si="29"/>
        <v>-9340.52</v>
      </c>
      <c r="AY49" s="88"/>
      <c r="AZ49" s="89">
        <v>11423.64</v>
      </c>
      <c r="BA49" s="54"/>
      <c r="BB49" s="82"/>
      <c r="BC49" s="60"/>
      <c r="BD49" s="54">
        <f t="shared" si="7"/>
        <v>22847.279999999999</v>
      </c>
      <c r="BE49" s="54"/>
      <c r="BF49" s="54"/>
      <c r="BG49" s="54"/>
      <c r="BH49" s="54"/>
      <c r="BI49" s="57"/>
      <c r="BJ49" s="54"/>
      <c r="BK49" s="54"/>
      <c r="BL49" s="54"/>
      <c r="BM49" s="58">
        <f t="shared" si="31"/>
        <v>0</v>
      </c>
      <c r="BN49" s="58"/>
      <c r="BO49" s="66">
        <v>127.07</v>
      </c>
      <c r="BP49" s="66"/>
      <c r="BQ49" s="66">
        <f t="shared" si="8"/>
        <v>254.14</v>
      </c>
      <c r="BR49" s="66"/>
      <c r="BS49" s="66">
        <f t="shared" si="1"/>
        <v>254.14</v>
      </c>
      <c r="BT49" s="58"/>
      <c r="BU49" s="54">
        <f t="shared" si="32"/>
        <v>9340.52</v>
      </c>
      <c r="BV49" s="58"/>
      <c r="BW49" s="58">
        <f t="shared" si="16"/>
        <v>9340.52</v>
      </c>
      <c r="BX49" s="58"/>
      <c r="BY49" s="91"/>
      <c r="BZ49" s="66">
        <f t="shared" si="30"/>
        <v>0</v>
      </c>
      <c r="CA49" s="66"/>
      <c r="CB49" s="54">
        <f t="shared" si="33"/>
        <v>-22593.14</v>
      </c>
      <c r="CC49" s="54"/>
      <c r="CD49" s="54">
        <f t="shared" si="34"/>
        <v>0</v>
      </c>
      <c r="CE49" s="54"/>
      <c r="CF49" s="54">
        <f t="shared" si="35"/>
        <v>9340.52</v>
      </c>
      <c r="CG49" s="60"/>
      <c r="CH49" s="61">
        <f t="shared" si="4"/>
        <v>31933.66</v>
      </c>
      <c r="CI49" s="200"/>
      <c r="CJ49" s="294"/>
      <c r="CK49" s="346">
        <f t="shared" si="5"/>
        <v>778.37666666666667</v>
      </c>
    </row>
    <row r="50" spans="1:89" ht="12.75" customHeight="1" x14ac:dyDescent="0.2">
      <c r="A50" s="4"/>
      <c r="B50" s="27"/>
      <c r="C50" s="28"/>
      <c r="D50" s="28" t="s">
        <v>22</v>
      </c>
      <c r="E50" s="29"/>
      <c r="F50" s="28"/>
      <c r="G50" s="30">
        <f>ROUND(SUM(G43:G45)+SUM(G49:G49),5)</f>
        <v>1333.2</v>
      </c>
      <c r="H50" s="31"/>
      <c r="I50" s="30">
        <f>ROUND(SUM(I43:I45)+SUM(I49:I49),5)</f>
        <v>4666.5200000000004</v>
      </c>
      <c r="J50" s="31"/>
      <c r="K50" s="30">
        <f>ROUND((G50-I50),5)</f>
        <v>-3333.32</v>
      </c>
      <c r="L50" s="31"/>
      <c r="M50" s="32">
        <f>ROUND(IF(I50=0, IF(G50=0, 0, 1), G50/I50),5)</f>
        <v>0.28569</v>
      </c>
      <c r="N50" s="31"/>
      <c r="O50" s="30">
        <f>ROUND(SUM(O43:O45)+SUM(O49:O49),5)</f>
        <v>4135.9399999999996</v>
      </c>
      <c r="P50" s="31"/>
      <c r="Q50" s="30">
        <f>ROUND(SUM(Q43:Q45)+SUM(Q49:Q49),5)</f>
        <v>4666.68</v>
      </c>
      <c r="R50" s="31"/>
      <c r="S50" s="30">
        <f>ROUND((O50-Q50),5)</f>
        <v>-530.74</v>
      </c>
      <c r="T50" s="31"/>
      <c r="U50" s="32">
        <f>ROUND(IF(Q50=0, IF(O50=0, 0, 1), O50/Q50),5)</f>
        <v>0.88627</v>
      </c>
      <c r="V50" s="31"/>
      <c r="W50" s="33">
        <f>ROUND(SUM(W43:W45)+SUM(W49:W49),5)</f>
        <v>4398.3500000000004</v>
      </c>
      <c r="X50" s="33"/>
      <c r="Y50" s="33">
        <f>Y44+Y45+Y47+Y48</f>
        <v>4666.68</v>
      </c>
      <c r="Z50" s="33"/>
      <c r="AA50" s="33">
        <f>ROUND((W50-Y50),5)</f>
        <v>-268.33</v>
      </c>
      <c r="AB50" s="33"/>
      <c r="AC50" s="33"/>
      <c r="AD50" s="34">
        <v>74000</v>
      </c>
      <c r="AE50" s="34"/>
      <c r="AF50" s="49"/>
      <c r="AG50" s="50"/>
      <c r="AH50" s="51">
        <v>74000</v>
      </c>
      <c r="AI50" s="51"/>
      <c r="AJ50" s="51">
        <v>57800.740000000005</v>
      </c>
      <c r="AK50" s="51"/>
      <c r="AL50" s="51">
        <f>AL44+AL45+AL47+AL48</f>
        <v>56000</v>
      </c>
      <c r="AM50" s="51"/>
      <c r="AN50" s="51">
        <v>48536.34</v>
      </c>
      <c r="AO50" s="51"/>
      <c r="AP50" s="51">
        <v>26144.55</v>
      </c>
      <c r="AQ50" s="51"/>
      <c r="AR50" s="51">
        <f>AR44+AR45+AR47+AR48</f>
        <v>13999.88</v>
      </c>
      <c r="AS50" s="51">
        <f t="shared" si="27"/>
        <v>52289.1</v>
      </c>
      <c r="AT50" s="51"/>
      <c r="AU50" s="53"/>
      <c r="AV50" s="54">
        <v>53000</v>
      </c>
      <c r="AW50" s="55"/>
      <c r="AX50" s="56">
        <f t="shared" si="29"/>
        <v>-7463.6600000000035</v>
      </c>
      <c r="AY50" s="88"/>
      <c r="AZ50" s="82">
        <v>24861.37</v>
      </c>
      <c r="BA50" s="54"/>
      <c r="BB50" s="114"/>
      <c r="BC50" s="60"/>
      <c r="BD50" s="54">
        <v>52507.89</v>
      </c>
      <c r="BE50" s="54"/>
      <c r="BF50" s="54"/>
      <c r="BG50" s="54">
        <v>50000</v>
      </c>
      <c r="BH50" s="54"/>
      <c r="BI50" s="57">
        <v>58972.83</v>
      </c>
      <c r="BJ50" s="54"/>
      <c r="BK50" s="54">
        <v>50000</v>
      </c>
      <c r="BL50" s="54"/>
      <c r="BM50" s="58">
        <f t="shared" ref="BM50:BM78" si="37">BK50-BG50</f>
        <v>0</v>
      </c>
      <c r="BN50" s="58"/>
      <c r="BO50" s="66">
        <v>21705.57</v>
      </c>
      <c r="BP50" s="66"/>
      <c r="BQ50" s="66">
        <f>BO50*2</f>
        <v>43411.14</v>
      </c>
      <c r="BR50" s="66"/>
      <c r="BS50" s="66">
        <f t="shared" si="1"/>
        <v>-6588.8600000000006</v>
      </c>
      <c r="BT50" s="58"/>
      <c r="BU50" s="54">
        <v>45000</v>
      </c>
      <c r="BV50" s="58"/>
      <c r="BW50" s="58">
        <f t="shared" si="16"/>
        <v>-5000</v>
      </c>
      <c r="BX50" s="58"/>
      <c r="BY50" s="91" t="s">
        <v>263</v>
      </c>
      <c r="BZ50" s="66">
        <f t="shared" si="30"/>
        <v>0</v>
      </c>
      <c r="CA50" s="66"/>
      <c r="CB50" s="54">
        <v>45000</v>
      </c>
      <c r="CC50" s="54"/>
      <c r="CD50" s="54">
        <v>45000</v>
      </c>
      <c r="CE50" s="54"/>
      <c r="CF50" s="54">
        <v>45000</v>
      </c>
      <c r="CG50" s="60"/>
      <c r="CH50" s="61">
        <f t="shared" si="4"/>
        <v>0</v>
      </c>
      <c r="CI50" s="200"/>
      <c r="CJ50" s="294"/>
      <c r="CK50" s="346">
        <f t="shared" si="5"/>
        <v>3750</v>
      </c>
    </row>
    <row r="51" spans="1:89" ht="18" hidden="1" customHeight="1" x14ac:dyDescent="0.2">
      <c r="A51" s="4"/>
      <c r="B51" s="27"/>
      <c r="C51" s="28"/>
      <c r="D51" s="28"/>
      <c r="E51" s="29" t="s">
        <v>30</v>
      </c>
      <c r="F51" s="28"/>
      <c r="G51" s="30">
        <v>1009.12</v>
      </c>
      <c r="H51" s="31"/>
      <c r="I51" s="30"/>
      <c r="J51" s="31"/>
      <c r="K51" s="30"/>
      <c r="L51" s="31"/>
      <c r="M51" s="32"/>
      <c r="N51" s="31"/>
      <c r="O51" s="30">
        <v>0</v>
      </c>
      <c r="P51" s="31"/>
      <c r="Q51" s="30"/>
      <c r="R51" s="31"/>
      <c r="S51" s="30"/>
      <c r="T51" s="31"/>
      <c r="U51" s="32"/>
      <c r="V51" s="31"/>
      <c r="W51" s="33">
        <v>0</v>
      </c>
      <c r="X51" s="33"/>
      <c r="Y51" s="33"/>
      <c r="Z51" s="33"/>
      <c r="AA51" s="33"/>
      <c r="AB51" s="33"/>
      <c r="AC51" s="33"/>
      <c r="AD51" s="34"/>
      <c r="AE51" s="34"/>
      <c r="AF51" s="49"/>
      <c r="AG51" s="50"/>
      <c r="AH51" s="51"/>
      <c r="AI51" s="51"/>
      <c r="AJ51" s="51"/>
      <c r="AK51" s="51"/>
      <c r="AL51" s="51"/>
      <c r="AM51" s="51"/>
      <c r="AN51" s="51">
        <f t="shared" ref="AN51:AN61" si="38">AP51*4</f>
        <v>4036.48</v>
      </c>
      <c r="AO51" s="51"/>
      <c r="AP51" s="51">
        <f t="shared" ref="AP51:AP77" si="39">ROUND(G51+O51+W51,5)</f>
        <v>1009.12</v>
      </c>
      <c r="AQ51" s="51"/>
      <c r="AR51" s="51"/>
      <c r="AS51" s="51">
        <f t="shared" si="27"/>
        <v>2018.24</v>
      </c>
      <c r="AT51" s="51"/>
      <c r="AU51" s="65"/>
      <c r="AV51" s="54"/>
      <c r="AW51" s="55"/>
      <c r="AX51" s="56">
        <f t="shared" si="29"/>
        <v>4036.48</v>
      </c>
      <c r="AY51" s="88"/>
      <c r="AZ51" s="89">
        <v>24861.37</v>
      </c>
      <c r="BA51" s="54"/>
      <c r="BB51" s="114"/>
      <c r="BC51" s="60"/>
      <c r="BD51" s="54">
        <f t="shared" si="7"/>
        <v>49722.74</v>
      </c>
      <c r="BE51" s="54"/>
      <c r="BF51" s="54"/>
      <c r="BG51" s="54"/>
      <c r="BH51" s="54"/>
      <c r="BI51" s="57"/>
      <c r="BJ51" s="54"/>
      <c r="BK51" s="54"/>
      <c r="BL51" s="54"/>
      <c r="BM51" s="58">
        <f t="shared" si="37"/>
        <v>0</v>
      </c>
      <c r="BN51" s="58"/>
      <c r="BO51" s="66">
        <v>7465.59</v>
      </c>
      <c r="BP51" s="66"/>
      <c r="BQ51" s="66">
        <f t="shared" si="8"/>
        <v>14931.18</v>
      </c>
      <c r="BR51" s="66"/>
      <c r="BS51" s="66">
        <f t="shared" si="1"/>
        <v>14931.18</v>
      </c>
      <c r="BT51" s="58"/>
      <c r="BU51" s="54">
        <f t="shared" ref="BU51:BU61" si="40">BM51-BI51</f>
        <v>0</v>
      </c>
      <c r="BV51" s="58"/>
      <c r="BW51" s="58">
        <f t="shared" si="16"/>
        <v>0</v>
      </c>
      <c r="BX51" s="58"/>
      <c r="BY51" s="91"/>
      <c r="BZ51" s="66">
        <f t="shared" si="30"/>
        <v>0</v>
      </c>
      <c r="CA51" s="66"/>
      <c r="CB51" s="54">
        <f t="shared" ref="CB51:CB61" si="41">BS51-BO51</f>
        <v>7465.59</v>
      </c>
      <c r="CC51" s="54"/>
      <c r="CD51" s="54">
        <f t="shared" ref="CD51:CD61" si="42">BT51-BP51</f>
        <v>0</v>
      </c>
      <c r="CE51" s="54"/>
      <c r="CF51" s="54">
        <f t="shared" ref="CF51:CF61" si="43">BU51-BQ51</f>
        <v>-14931.18</v>
      </c>
      <c r="CG51" s="60"/>
      <c r="CH51" s="61">
        <f t="shared" si="4"/>
        <v>-22396.77</v>
      </c>
      <c r="CI51" s="200"/>
      <c r="CJ51" s="294"/>
      <c r="CK51" s="346">
        <f t="shared" si="5"/>
        <v>-1244.2650000000001</v>
      </c>
    </row>
    <row r="52" spans="1:89" ht="18" hidden="1" customHeight="1" x14ac:dyDescent="0.2">
      <c r="A52" s="4"/>
      <c r="B52" s="27"/>
      <c r="C52" s="28"/>
      <c r="D52" s="28"/>
      <c r="E52" s="29" t="s">
        <v>31</v>
      </c>
      <c r="F52" s="28"/>
      <c r="G52" s="30">
        <v>235.87</v>
      </c>
      <c r="H52" s="31"/>
      <c r="I52" s="30"/>
      <c r="J52" s="31"/>
      <c r="K52" s="30"/>
      <c r="L52" s="31"/>
      <c r="M52" s="32"/>
      <c r="N52" s="31"/>
      <c r="O52" s="30">
        <v>0</v>
      </c>
      <c r="P52" s="31"/>
      <c r="Q52" s="30"/>
      <c r="R52" s="31"/>
      <c r="S52" s="30"/>
      <c r="T52" s="31"/>
      <c r="U52" s="32"/>
      <c r="V52" s="31"/>
      <c r="W52" s="33">
        <v>0</v>
      </c>
      <c r="X52" s="33"/>
      <c r="Y52" s="33"/>
      <c r="Z52" s="33"/>
      <c r="AA52" s="33"/>
      <c r="AB52" s="33"/>
      <c r="AC52" s="33"/>
      <c r="AD52" s="34"/>
      <c r="AE52" s="34"/>
      <c r="AF52" s="49"/>
      <c r="AG52" s="50"/>
      <c r="AH52" s="51"/>
      <c r="AI52" s="51"/>
      <c r="AJ52" s="51"/>
      <c r="AK52" s="51"/>
      <c r="AL52" s="51"/>
      <c r="AM52" s="51"/>
      <c r="AN52" s="51">
        <f t="shared" si="38"/>
        <v>943.48</v>
      </c>
      <c r="AO52" s="51"/>
      <c r="AP52" s="51">
        <f t="shared" si="39"/>
        <v>235.87</v>
      </c>
      <c r="AQ52" s="51"/>
      <c r="AR52" s="51"/>
      <c r="AS52" s="51">
        <f t="shared" si="27"/>
        <v>471.74</v>
      </c>
      <c r="AT52" s="51"/>
      <c r="AU52" s="65"/>
      <c r="AV52" s="54"/>
      <c r="AW52" s="55"/>
      <c r="AX52" s="56">
        <f t="shared" si="29"/>
        <v>943.48</v>
      </c>
      <c r="AY52" s="88"/>
      <c r="AZ52" s="89">
        <v>53844.28</v>
      </c>
      <c r="BA52" s="54"/>
      <c r="BB52" s="114"/>
      <c r="BC52" s="60"/>
      <c r="BD52" s="54">
        <f t="shared" si="7"/>
        <v>107688.56</v>
      </c>
      <c r="BE52" s="54"/>
      <c r="BF52" s="54"/>
      <c r="BG52" s="54"/>
      <c r="BH52" s="54"/>
      <c r="BI52" s="57"/>
      <c r="BJ52" s="54"/>
      <c r="BK52" s="54"/>
      <c r="BL52" s="54"/>
      <c r="BM52" s="58">
        <f t="shared" si="37"/>
        <v>0</v>
      </c>
      <c r="BN52" s="58"/>
      <c r="BO52" s="66">
        <v>0</v>
      </c>
      <c r="BP52" s="66"/>
      <c r="BQ52" s="66">
        <f t="shared" si="8"/>
        <v>0</v>
      </c>
      <c r="BR52" s="66"/>
      <c r="BS52" s="66">
        <f t="shared" si="1"/>
        <v>0</v>
      </c>
      <c r="BT52" s="58"/>
      <c r="BU52" s="54">
        <f t="shared" si="40"/>
        <v>0</v>
      </c>
      <c r="BV52" s="58"/>
      <c r="BW52" s="58">
        <f t="shared" si="16"/>
        <v>0</v>
      </c>
      <c r="BX52" s="58"/>
      <c r="BY52" s="91"/>
      <c r="BZ52" s="66">
        <f t="shared" si="30"/>
        <v>0</v>
      </c>
      <c r="CA52" s="66"/>
      <c r="CB52" s="54">
        <f t="shared" si="41"/>
        <v>0</v>
      </c>
      <c r="CC52" s="54"/>
      <c r="CD52" s="54">
        <f t="shared" si="42"/>
        <v>0</v>
      </c>
      <c r="CE52" s="54"/>
      <c r="CF52" s="54">
        <f t="shared" si="43"/>
        <v>0</v>
      </c>
      <c r="CG52" s="60"/>
      <c r="CH52" s="61">
        <f t="shared" si="4"/>
        <v>0</v>
      </c>
      <c r="CI52" s="200"/>
      <c r="CJ52" s="294"/>
      <c r="CK52" s="346">
        <f t="shared" si="5"/>
        <v>0</v>
      </c>
    </row>
    <row r="53" spans="1:89" ht="18" hidden="1" customHeight="1" x14ac:dyDescent="0.2">
      <c r="A53" s="4"/>
      <c r="B53" s="27"/>
      <c r="C53" s="28"/>
      <c r="D53" s="28"/>
      <c r="E53" s="29" t="s">
        <v>32</v>
      </c>
      <c r="F53" s="28"/>
      <c r="G53" s="30">
        <v>218.27</v>
      </c>
      <c r="H53" s="31"/>
      <c r="I53" s="30"/>
      <c r="J53" s="31"/>
      <c r="K53" s="30"/>
      <c r="L53" s="31"/>
      <c r="M53" s="32"/>
      <c r="N53" s="31"/>
      <c r="O53" s="30">
        <v>0</v>
      </c>
      <c r="P53" s="31"/>
      <c r="Q53" s="30"/>
      <c r="R53" s="31"/>
      <c r="S53" s="30"/>
      <c r="T53" s="31"/>
      <c r="U53" s="32"/>
      <c r="V53" s="31"/>
      <c r="W53" s="33">
        <v>0</v>
      </c>
      <c r="X53" s="33"/>
      <c r="Y53" s="33"/>
      <c r="Z53" s="33"/>
      <c r="AA53" s="33"/>
      <c r="AB53" s="33"/>
      <c r="AC53" s="33"/>
      <c r="AD53" s="34"/>
      <c r="AE53" s="34"/>
      <c r="AF53" s="49"/>
      <c r="AG53" s="50"/>
      <c r="AH53" s="51"/>
      <c r="AI53" s="51"/>
      <c r="AJ53" s="51"/>
      <c r="AK53" s="51"/>
      <c r="AL53" s="51"/>
      <c r="AM53" s="51"/>
      <c r="AN53" s="51">
        <f t="shared" si="38"/>
        <v>873.08</v>
      </c>
      <c r="AO53" s="51"/>
      <c r="AP53" s="51">
        <f t="shared" si="39"/>
        <v>218.27</v>
      </c>
      <c r="AQ53" s="51"/>
      <c r="AR53" s="51"/>
      <c r="AS53" s="51">
        <f t="shared" si="27"/>
        <v>436.54</v>
      </c>
      <c r="AT53" s="51"/>
      <c r="AU53" s="65"/>
      <c r="AV53" s="54"/>
      <c r="AW53" s="55"/>
      <c r="AX53" s="56">
        <f t="shared" si="29"/>
        <v>873.08</v>
      </c>
      <c r="AY53" s="88"/>
      <c r="AZ53" s="89">
        <v>43938.400000000001</v>
      </c>
      <c r="BA53" s="54"/>
      <c r="BB53" s="114"/>
      <c r="BC53" s="60"/>
      <c r="BD53" s="54">
        <f t="shared" si="7"/>
        <v>87876.800000000003</v>
      </c>
      <c r="BE53" s="54"/>
      <c r="BF53" s="54"/>
      <c r="BG53" s="54"/>
      <c r="BH53" s="54"/>
      <c r="BI53" s="57"/>
      <c r="BJ53" s="54"/>
      <c r="BK53" s="54"/>
      <c r="BL53" s="54"/>
      <c r="BM53" s="58">
        <f t="shared" si="37"/>
        <v>0</v>
      </c>
      <c r="BN53" s="58"/>
      <c r="BO53" s="66">
        <v>21705.57</v>
      </c>
      <c r="BP53" s="66"/>
      <c r="BQ53" s="66">
        <f t="shared" si="8"/>
        <v>43411.14</v>
      </c>
      <c r="BR53" s="66"/>
      <c r="BS53" s="66">
        <f t="shared" si="1"/>
        <v>43411.14</v>
      </c>
      <c r="BT53" s="58"/>
      <c r="BU53" s="54">
        <f t="shared" si="40"/>
        <v>0</v>
      </c>
      <c r="BV53" s="58"/>
      <c r="BW53" s="58">
        <f t="shared" si="16"/>
        <v>0</v>
      </c>
      <c r="BX53" s="58"/>
      <c r="BY53" s="91"/>
      <c r="BZ53" s="66">
        <f t="shared" si="30"/>
        <v>0</v>
      </c>
      <c r="CA53" s="66"/>
      <c r="CB53" s="54">
        <f t="shared" si="41"/>
        <v>21705.57</v>
      </c>
      <c r="CC53" s="54"/>
      <c r="CD53" s="54">
        <f t="shared" si="42"/>
        <v>0</v>
      </c>
      <c r="CE53" s="54"/>
      <c r="CF53" s="54">
        <f t="shared" si="43"/>
        <v>-43411.14</v>
      </c>
      <c r="CG53" s="60"/>
      <c r="CH53" s="61">
        <f t="shared" si="4"/>
        <v>-65116.71</v>
      </c>
      <c r="CI53" s="200"/>
      <c r="CJ53" s="294"/>
      <c r="CK53" s="346">
        <f t="shared" si="5"/>
        <v>-3617.5949999999998</v>
      </c>
    </row>
    <row r="54" spans="1:89" ht="18" hidden="1" customHeight="1" thickBot="1" x14ac:dyDescent="0.25">
      <c r="A54" s="4"/>
      <c r="B54" s="27"/>
      <c r="C54" s="28"/>
      <c r="D54" s="28"/>
      <c r="E54" s="29" t="s">
        <v>33</v>
      </c>
      <c r="F54" s="28"/>
      <c r="G54" s="30">
        <v>372.55</v>
      </c>
      <c r="H54" s="31"/>
      <c r="I54" s="30"/>
      <c r="J54" s="31"/>
      <c r="K54" s="30"/>
      <c r="L54" s="31"/>
      <c r="M54" s="32"/>
      <c r="N54" s="31"/>
      <c r="O54" s="30">
        <v>0</v>
      </c>
      <c r="P54" s="31"/>
      <c r="Q54" s="30"/>
      <c r="R54" s="31"/>
      <c r="S54" s="30"/>
      <c r="T54" s="31"/>
      <c r="U54" s="32"/>
      <c r="V54" s="31"/>
      <c r="W54" s="33">
        <v>0</v>
      </c>
      <c r="X54" s="33"/>
      <c r="Y54" s="33"/>
      <c r="Z54" s="33"/>
      <c r="AA54" s="33"/>
      <c r="AB54" s="33"/>
      <c r="AC54" s="33"/>
      <c r="AD54" s="34"/>
      <c r="AE54" s="34"/>
      <c r="AF54" s="49"/>
      <c r="AG54" s="50"/>
      <c r="AH54" s="51"/>
      <c r="AI54" s="51"/>
      <c r="AJ54" s="51"/>
      <c r="AK54" s="51"/>
      <c r="AL54" s="51"/>
      <c r="AM54" s="51"/>
      <c r="AN54" s="51">
        <f t="shared" si="38"/>
        <v>1490.2</v>
      </c>
      <c r="AO54" s="51"/>
      <c r="AP54" s="51">
        <f t="shared" si="39"/>
        <v>372.55</v>
      </c>
      <c r="AQ54" s="51"/>
      <c r="AR54" s="51"/>
      <c r="AS54" s="51">
        <f t="shared" si="27"/>
        <v>745.1</v>
      </c>
      <c r="AT54" s="51"/>
      <c r="AU54" s="65"/>
      <c r="AV54" s="54"/>
      <c r="AW54" s="55"/>
      <c r="AX54" s="56">
        <f t="shared" si="29"/>
        <v>1490.2</v>
      </c>
      <c r="AY54" s="88"/>
      <c r="AZ54" s="97">
        <v>12855.85</v>
      </c>
      <c r="BA54" s="54"/>
      <c r="BB54" s="114"/>
      <c r="BC54" s="60"/>
      <c r="BD54" s="54">
        <f t="shared" si="7"/>
        <v>25711.7</v>
      </c>
      <c r="BE54" s="54"/>
      <c r="BF54" s="54"/>
      <c r="BG54" s="54"/>
      <c r="BH54" s="54"/>
      <c r="BI54" s="57"/>
      <c r="BJ54" s="54"/>
      <c r="BK54" s="54"/>
      <c r="BL54" s="54"/>
      <c r="BM54" s="58">
        <f t="shared" si="37"/>
        <v>0</v>
      </c>
      <c r="BN54" s="58"/>
      <c r="BO54" s="66">
        <v>65102.89</v>
      </c>
      <c r="BP54" s="66"/>
      <c r="BQ54" s="66">
        <f t="shared" si="8"/>
        <v>130205.78</v>
      </c>
      <c r="BR54" s="66"/>
      <c r="BS54" s="66">
        <f t="shared" si="1"/>
        <v>130205.78</v>
      </c>
      <c r="BT54" s="58"/>
      <c r="BU54" s="54">
        <f t="shared" si="40"/>
        <v>0</v>
      </c>
      <c r="BV54" s="58"/>
      <c r="BW54" s="58">
        <f t="shared" si="16"/>
        <v>0</v>
      </c>
      <c r="BX54" s="58"/>
      <c r="BY54" s="91"/>
      <c r="BZ54" s="66">
        <f t="shared" si="30"/>
        <v>0</v>
      </c>
      <c r="CA54" s="66"/>
      <c r="CB54" s="54">
        <f t="shared" si="41"/>
        <v>65102.89</v>
      </c>
      <c r="CC54" s="54"/>
      <c r="CD54" s="54">
        <f t="shared" si="42"/>
        <v>0</v>
      </c>
      <c r="CE54" s="54"/>
      <c r="CF54" s="54">
        <f t="shared" si="43"/>
        <v>-130205.78</v>
      </c>
      <c r="CG54" s="60"/>
      <c r="CH54" s="61">
        <f t="shared" si="4"/>
        <v>-195308.66999999998</v>
      </c>
      <c r="CI54" s="200"/>
      <c r="CJ54" s="294"/>
      <c r="CK54" s="346">
        <f t="shared" si="5"/>
        <v>-10850.481666666667</v>
      </c>
    </row>
    <row r="55" spans="1:89" ht="18" hidden="1" customHeight="1" x14ac:dyDescent="0.2">
      <c r="A55" s="4"/>
      <c r="B55" s="27"/>
      <c r="C55" s="28"/>
      <c r="D55" s="28"/>
      <c r="E55" s="29" t="s">
        <v>34</v>
      </c>
      <c r="F55" s="28"/>
      <c r="G55" s="30">
        <v>312.83999999999997</v>
      </c>
      <c r="H55" s="31"/>
      <c r="I55" s="30"/>
      <c r="J55" s="31"/>
      <c r="K55" s="30"/>
      <c r="L55" s="31"/>
      <c r="M55" s="32"/>
      <c r="N55" s="31"/>
      <c r="O55" s="30">
        <v>0</v>
      </c>
      <c r="P55" s="31"/>
      <c r="Q55" s="30"/>
      <c r="R55" s="31"/>
      <c r="S55" s="30"/>
      <c r="T55" s="31"/>
      <c r="U55" s="32"/>
      <c r="V55" s="31"/>
      <c r="W55" s="33">
        <v>0</v>
      </c>
      <c r="X55" s="33"/>
      <c r="Y55" s="33"/>
      <c r="Z55" s="33"/>
      <c r="AA55" s="33"/>
      <c r="AB55" s="33"/>
      <c r="AC55" s="33"/>
      <c r="AD55" s="34"/>
      <c r="AE55" s="34"/>
      <c r="AF55" s="49"/>
      <c r="AG55" s="50"/>
      <c r="AH55" s="51"/>
      <c r="AI55" s="51"/>
      <c r="AJ55" s="51"/>
      <c r="AK55" s="51"/>
      <c r="AL55" s="51"/>
      <c r="AM55" s="51"/>
      <c r="AN55" s="51">
        <f t="shared" si="38"/>
        <v>1251.3599999999999</v>
      </c>
      <c r="AO55" s="51"/>
      <c r="AP55" s="51">
        <f t="shared" si="39"/>
        <v>312.83999999999997</v>
      </c>
      <c r="AQ55" s="51"/>
      <c r="AR55" s="51"/>
      <c r="AS55" s="51">
        <f t="shared" si="27"/>
        <v>625.67999999999995</v>
      </c>
      <c r="AT55" s="51"/>
      <c r="AU55" s="65"/>
      <c r="AV55" s="54"/>
      <c r="AW55" s="55"/>
      <c r="AX55" s="56">
        <f t="shared" si="29"/>
        <v>1251.3599999999999</v>
      </c>
      <c r="AY55" s="88"/>
      <c r="AZ55" s="89">
        <v>143539.59</v>
      </c>
      <c r="BA55" s="54"/>
      <c r="BB55" s="114"/>
      <c r="BC55" s="60"/>
      <c r="BD55" s="54">
        <f t="shared" si="7"/>
        <v>287079.18</v>
      </c>
      <c r="BE55" s="54"/>
      <c r="BF55" s="54"/>
      <c r="BG55" s="54"/>
      <c r="BH55" s="54"/>
      <c r="BI55" s="57"/>
      <c r="BJ55" s="54"/>
      <c r="BK55" s="54"/>
      <c r="BL55" s="54"/>
      <c r="BM55" s="58">
        <f t="shared" si="37"/>
        <v>0</v>
      </c>
      <c r="BN55" s="58"/>
      <c r="BO55" s="66">
        <v>36864.870000000003</v>
      </c>
      <c r="BP55" s="66"/>
      <c r="BQ55" s="66">
        <f t="shared" si="8"/>
        <v>73729.740000000005</v>
      </c>
      <c r="BR55" s="66"/>
      <c r="BS55" s="66">
        <f t="shared" si="1"/>
        <v>73729.740000000005</v>
      </c>
      <c r="BT55" s="58"/>
      <c r="BU55" s="54">
        <f t="shared" si="40"/>
        <v>0</v>
      </c>
      <c r="BV55" s="58"/>
      <c r="BW55" s="58">
        <f t="shared" si="16"/>
        <v>0</v>
      </c>
      <c r="BX55" s="58"/>
      <c r="BY55" s="91"/>
      <c r="BZ55" s="66">
        <f t="shared" si="30"/>
        <v>0</v>
      </c>
      <c r="CA55" s="66"/>
      <c r="CB55" s="54">
        <f t="shared" si="41"/>
        <v>36864.870000000003</v>
      </c>
      <c r="CC55" s="54"/>
      <c r="CD55" s="54">
        <f t="shared" si="42"/>
        <v>0</v>
      </c>
      <c r="CE55" s="54"/>
      <c r="CF55" s="54">
        <f t="shared" si="43"/>
        <v>-73729.740000000005</v>
      </c>
      <c r="CG55" s="60"/>
      <c r="CH55" s="61">
        <f t="shared" si="4"/>
        <v>-110594.61000000002</v>
      </c>
      <c r="CI55" s="200"/>
      <c r="CJ55" s="294"/>
      <c r="CK55" s="346">
        <f t="shared" si="5"/>
        <v>-6144.1450000000004</v>
      </c>
    </row>
    <row r="56" spans="1:89" ht="18" hidden="1" customHeight="1" x14ac:dyDescent="0.2">
      <c r="A56" s="4"/>
      <c r="B56" s="27"/>
      <c r="C56" s="28"/>
      <c r="D56" s="28"/>
      <c r="E56" s="29" t="s">
        <v>35</v>
      </c>
      <c r="F56" s="28"/>
      <c r="G56" s="30">
        <v>346.37</v>
      </c>
      <c r="H56" s="31"/>
      <c r="I56" s="30"/>
      <c r="J56" s="31"/>
      <c r="K56" s="30"/>
      <c r="L56" s="31"/>
      <c r="M56" s="32"/>
      <c r="N56" s="31"/>
      <c r="O56" s="30">
        <v>0</v>
      </c>
      <c r="P56" s="31"/>
      <c r="Q56" s="30"/>
      <c r="R56" s="31"/>
      <c r="S56" s="30"/>
      <c r="T56" s="31"/>
      <c r="U56" s="32"/>
      <c r="V56" s="31"/>
      <c r="W56" s="33">
        <v>0</v>
      </c>
      <c r="X56" s="33"/>
      <c r="Y56" s="33"/>
      <c r="Z56" s="33"/>
      <c r="AA56" s="33"/>
      <c r="AB56" s="33"/>
      <c r="AC56" s="33"/>
      <c r="AD56" s="34"/>
      <c r="AE56" s="34"/>
      <c r="AF56" s="49"/>
      <c r="AG56" s="50"/>
      <c r="AH56" s="51"/>
      <c r="AI56" s="51"/>
      <c r="AJ56" s="51"/>
      <c r="AK56" s="51"/>
      <c r="AL56" s="51"/>
      <c r="AM56" s="51"/>
      <c r="AN56" s="51">
        <f t="shared" si="38"/>
        <v>1385.48</v>
      </c>
      <c r="AO56" s="51"/>
      <c r="AP56" s="51">
        <f t="shared" si="39"/>
        <v>346.37</v>
      </c>
      <c r="AQ56" s="51"/>
      <c r="AR56" s="51"/>
      <c r="AS56" s="51">
        <f t="shared" si="27"/>
        <v>692.74</v>
      </c>
      <c r="AT56" s="51"/>
      <c r="AU56" s="65"/>
      <c r="AV56" s="54"/>
      <c r="AW56" s="55"/>
      <c r="AX56" s="56">
        <f t="shared" si="29"/>
        <v>1385.48</v>
      </c>
      <c r="AY56" s="56"/>
      <c r="AZ56" s="54"/>
      <c r="BA56" s="54"/>
      <c r="BB56" s="114"/>
      <c r="BC56" s="60"/>
      <c r="BD56" s="54">
        <f t="shared" si="7"/>
        <v>0</v>
      </c>
      <c r="BE56" s="54"/>
      <c r="BF56" s="54"/>
      <c r="BG56" s="54"/>
      <c r="BH56" s="54"/>
      <c r="BI56" s="54"/>
      <c r="BJ56" s="54"/>
      <c r="BK56" s="54"/>
      <c r="BL56" s="54"/>
      <c r="BM56" s="58">
        <f t="shared" si="37"/>
        <v>0</v>
      </c>
      <c r="BN56" s="58"/>
      <c r="BO56" s="66">
        <v>16496.98</v>
      </c>
      <c r="BP56" s="66"/>
      <c r="BQ56" s="66">
        <f t="shared" si="8"/>
        <v>32993.96</v>
      </c>
      <c r="BR56" s="66"/>
      <c r="BS56" s="66">
        <f t="shared" si="1"/>
        <v>32993.96</v>
      </c>
      <c r="BT56" s="58"/>
      <c r="BU56" s="54">
        <f t="shared" si="40"/>
        <v>0</v>
      </c>
      <c r="BV56" s="58"/>
      <c r="BW56" s="58">
        <f t="shared" si="16"/>
        <v>0</v>
      </c>
      <c r="BX56" s="58"/>
      <c r="BY56" s="91"/>
      <c r="BZ56" s="66">
        <f t="shared" si="30"/>
        <v>0</v>
      </c>
      <c r="CA56" s="66"/>
      <c r="CB56" s="54">
        <f t="shared" si="41"/>
        <v>16496.98</v>
      </c>
      <c r="CC56" s="54"/>
      <c r="CD56" s="54">
        <f t="shared" si="42"/>
        <v>0</v>
      </c>
      <c r="CE56" s="54"/>
      <c r="CF56" s="54">
        <f t="shared" si="43"/>
        <v>-32993.96</v>
      </c>
      <c r="CG56" s="60"/>
      <c r="CH56" s="61">
        <f t="shared" si="4"/>
        <v>-49490.94</v>
      </c>
      <c r="CI56" s="200"/>
      <c r="CJ56" s="294"/>
      <c r="CK56" s="346">
        <f t="shared" si="5"/>
        <v>-2749.4966666666664</v>
      </c>
    </row>
    <row r="57" spans="1:89" ht="18" hidden="1" customHeight="1" x14ac:dyDescent="0.2">
      <c r="A57" s="4"/>
      <c r="B57" s="27"/>
      <c r="C57" s="28"/>
      <c r="D57" s="28"/>
      <c r="E57" s="29" t="s">
        <v>36</v>
      </c>
      <c r="F57" s="28"/>
      <c r="G57" s="30">
        <v>336.25</v>
      </c>
      <c r="H57" s="31"/>
      <c r="I57" s="30"/>
      <c r="J57" s="31"/>
      <c r="K57" s="30"/>
      <c r="L57" s="31"/>
      <c r="M57" s="32"/>
      <c r="N57" s="31"/>
      <c r="O57" s="30">
        <v>0</v>
      </c>
      <c r="P57" s="31"/>
      <c r="Q57" s="30"/>
      <c r="R57" s="31"/>
      <c r="S57" s="30"/>
      <c r="T57" s="31"/>
      <c r="U57" s="32"/>
      <c r="V57" s="31"/>
      <c r="W57" s="33">
        <v>0</v>
      </c>
      <c r="X57" s="33"/>
      <c r="Y57" s="33"/>
      <c r="Z57" s="33"/>
      <c r="AA57" s="33"/>
      <c r="AB57" s="33"/>
      <c r="AC57" s="33"/>
      <c r="AD57" s="34"/>
      <c r="AE57" s="34"/>
      <c r="AF57" s="49"/>
      <c r="AG57" s="50"/>
      <c r="AH57" s="51"/>
      <c r="AI57" s="51"/>
      <c r="AJ57" s="51"/>
      <c r="AK57" s="51"/>
      <c r="AL57" s="51"/>
      <c r="AM57" s="51"/>
      <c r="AN57" s="51">
        <f t="shared" si="38"/>
        <v>1345</v>
      </c>
      <c r="AO57" s="51"/>
      <c r="AP57" s="51">
        <f t="shared" si="39"/>
        <v>336.25</v>
      </c>
      <c r="AQ57" s="51"/>
      <c r="AR57" s="51"/>
      <c r="AS57" s="51">
        <f t="shared" si="27"/>
        <v>672.5</v>
      </c>
      <c r="AT57" s="51"/>
      <c r="AU57" s="65"/>
      <c r="AV57" s="54"/>
      <c r="AW57" s="55"/>
      <c r="AX57" s="56">
        <f t="shared" si="29"/>
        <v>1345</v>
      </c>
      <c r="AY57" s="56"/>
      <c r="AZ57" s="54"/>
      <c r="BA57" s="54"/>
      <c r="BB57" s="114"/>
      <c r="BC57" s="60"/>
      <c r="BD57" s="54">
        <f t="shared" si="7"/>
        <v>0</v>
      </c>
      <c r="BE57" s="54"/>
      <c r="BF57" s="54"/>
      <c r="BG57" s="54"/>
      <c r="BH57" s="54"/>
      <c r="BI57" s="54"/>
      <c r="BJ57" s="54"/>
      <c r="BK57" s="54"/>
      <c r="BL57" s="54"/>
      <c r="BM57" s="58">
        <f t="shared" si="37"/>
        <v>0</v>
      </c>
      <c r="BN57" s="58"/>
      <c r="BO57" s="66">
        <v>144428.01999999999</v>
      </c>
      <c r="BP57" s="66"/>
      <c r="BQ57" s="66">
        <f t="shared" si="8"/>
        <v>288856.03999999998</v>
      </c>
      <c r="BR57" s="66"/>
      <c r="BS57" s="66">
        <f t="shared" si="1"/>
        <v>288856.03999999998</v>
      </c>
      <c r="BT57" s="58"/>
      <c r="BU57" s="54">
        <f t="shared" si="40"/>
        <v>0</v>
      </c>
      <c r="BV57" s="58"/>
      <c r="BW57" s="58">
        <f t="shared" si="16"/>
        <v>0</v>
      </c>
      <c r="BX57" s="58"/>
      <c r="BY57" s="91"/>
      <c r="BZ57" s="66">
        <f t="shared" si="30"/>
        <v>0</v>
      </c>
      <c r="CA57" s="66"/>
      <c r="CB57" s="54">
        <f t="shared" si="41"/>
        <v>144428.01999999999</v>
      </c>
      <c r="CC57" s="54"/>
      <c r="CD57" s="54">
        <f t="shared" si="42"/>
        <v>0</v>
      </c>
      <c r="CE57" s="54"/>
      <c r="CF57" s="54">
        <f t="shared" si="43"/>
        <v>-288856.03999999998</v>
      </c>
      <c r="CG57" s="60"/>
      <c r="CH57" s="61">
        <f t="shared" si="4"/>
        <v>-433284.05999999994</v>
      </c>
      <c r="CI57" s="200"/>
      <c r="CJ57" s="294"/>
      <c r="CK57" s="346">
        <f t="shared" si="5"/>
        <v>-24071.336666666666</v>
      </c>
    </row>
    <row r="58" spans="1:89" ht="18" hidden="1" customHeight="1" x14ac:dyDescent="0.2">
      <c r="A58" s="4"/>
      <c r="B58" s="27"/>
      <c r="C58" s="28"/>
      <c r="D58" s="28"/>
      <c r="E58" s="29" t="s">
        <v>37</v>
      </c>
      <c r="F58" s="28"/>
      <c r="G58" s="30">
        <v>228.43</v>
      </c>
      <c r="H58" s="31"/>
      <c r="I58" s="30"/>
      <c r="J58" s="31"/>
      <c r="K58" s="30"/>
      <c r="L58" s="31"/>
      <c r="M58" s="32"/>
      <c r="N58" s="31"/>
      <c r="O58" s="30">
        <v>0</v>
      </c>
      <c r="P58" s="31"/>
      <c r="Q58" s="30"/>
      <c r="R58" s="31"/>
      <c r="S58" s="30"/>
      <c r="T58" s="31"/>
      <c r="U58" s="32"/>
      <c r="V58" s="31"/>
      <c r="W58" s="33">
        <v>0</v>
      </c>
      <c r="X58" s="33"/>
      <c r="Y58" s="33"/>
      <c r="Z58" s="33"/>
      <c r="AA58" s="33"/>
      <c r="AB58" s="33"/>
      <c r="AC58" s="33"/>
      <c r="AD58" s="34"/>
      <c r="AE58" s="34"/>
      <c r="AF58" s="49"/>
      <c r="AG58" s="50"/>
      <c r="AH58" s="51"/>
      <c r="AI58" s="51"/>
      <c r="AJ58" s="51"/>
      <c r="AK58" s="51"/>
      <c r="AL58" s="51"/>
      <c r="AM58" s="51"/>
      <c r="AN58" s="51">
        <f t="shared" si="38"/>
        <v>913.72</v>
      </c>
      <c r="AO58" s="51"/>
      <c r="AP58" s="51">
        <f t="shared" si="39"/>
        <v>228.43</v>
      </c>
      <c r="AQ58" s="51"/>
      <c r="AR58" s="51"/>
      <c r="AS58" s="51">
        <f t="shared" si="27"/>
        <v>456.86</v>
      </c>
      <c r="AT58" s="51"/>
      <c r="AU58" s="65"/>
      <c r="AV58" s="54"/>
      <c r="AW58" s="55"/>
      <c r="AX58" s="56">
        <f t="shared" si="29"/>
        <v>913.72</v>
      </c>
      <c r="AY58" s="56"/>
      <c r="AZ58" s="54"/>
      <c r="BA58" s="54"/>
      <c r="BB58" s="114"/>
      <c r="BC58" s="60"/>
      <c r="BD58" s="54">
        <f t="shared" si="7"/>
        <v>0</v>
      </c>
      <c r="BE58" s="54"/>
      <c r="BF58" s="54"/>
      <c r="BG58" s="54"/>
      <c r="BH58" s="54"/>
      <c r="BI58" s="54"/>
      <c r="BJ58" s="54"/>
      <c r="BK58" s="54"/>
      <c r="BL58" s="54"/>
      <c r="BM58" s="58">
        <f t="shared" si="37"/>
        <v>0</v>
      </c>
      <c r="BN58" s="58"/>
      <c r="BO58" s="66">
        <v>4042.64</v>
      </c>
      <c r="BP58" s="66"/>
      <c r="BQ58" s="66">
        <f t="shared" si="8"/>
        <v>8085.28</v>
      </c>
      <c r="BR58" s="66"/>
      <c r="BS58" s="66">
        <f t="shared" si="1"/>
        <v>8085.28</v>
      </c>
      <c r="BT58" s="58"/>
      <c r="BU58" s="54">
        <f t="shared" si="40"/>
        <v>0</v>
      </c>
      <c r="BV58" s="58"/>
      <c r="BW58" s="58">
        <f t="shared" si="16"/>
        <v>0</v>
      </c>
      <c r="BX58" s="58"/>
      <c r="BY58" s="91"/>
      <c r="BZ58" s="66">
        <f t="shared" si="30"/>
        <v>0</v>
      </c>
      <c r="CA58" s="66"/>
      <c r="CB58" s="54">
        <f t="shared" si="41"/>
        <v>4042.64</v>
      </c>
      <c r="CC58" s="54"/>
      <c r="CD58" s="54">
        <f t="shared" si="42"/>
        <v>0</v>
      </c>
      <c r="CE58" s="54"/>
      <c r="CF58" s="54">
        <f t="shared" si="43"/>
        <v>-8085.28</v>
      </c>
      <c r="CG58" s="60"/>
      <c r="CH58" s="61">
        <f t="shared" si="4"/>
        <v>-12127.92</v>
      </c>
      <c r="CI58" s="200"/>
      <c r="CJ58" s="294"/>
      <c r="CK58" s="346">
        <f t="shared" si="5"/>
        <v>-673.77333333333331</v>
      </c>
    </row>
    <row r="59" spans="1:89" ht="18" hidden="1" customHeight="1" x14ac:dyDescent="0.2">
      <c r="A59" s="4"/>
      <c r="B59" s="27"/>
      <c r="C59" s="28"/>
      <c r="D59" s="28"/>
      <c r="E59" s="29" t="s">
        <v>38</v>
      </c>
      <c r="F59" s="28"/>
      <c r="G59" s="30">
        <v>315.54000000000002</v>
      </c>
      <c r="H59" s="31"/>
      <c r="I59" s="30"/>
      <c r="J59" s="31"/>
      <c r="K59" s="30"/>
      <c r="L59" s="31"/>
      <c r="M59" s="32"/>
      <c r="N59" s="31"/>
      <c r="O59" s="30">
        <v>0</v>
      </c>
      <c r="P59" s="31"/>
      <c r="Q59" s="30"/>
      <c r="R59" s="31"/>
      <c r="S59" s="30"/>
      <c r="T59" s="31"/>
      <c r="U59" s="32"/>
      <c r="V59" s="31"/>
      <c r="W59" s="33">
        <v>0</v>
      </c>
      <c r="X59" s="33"/>
      <c r="Y59" s="33"/>
      <c r="Z59" s="33"/>
      <c r="AA59" s="33"/>
      <c r="AB59" s="33"/>
      <c r="AC59" s="33"/>
      <c r="AD59" s="34"/>
      <c r="AE59" s="34"/>
      <c r="AF59" s="49"/>
      <c r="AG59" s="50"/>
      <c r="AH59" s="51"/>
      <c r="AI59" s="51"/>
      <c r="AJ59" s="51"/>
      <c r="AK59" s="51"/>
      <c r="AL59" s="51"/>
      <c r="AM59" s="51"/>
      <c r="AN59" s="51">
        <f t="shared" si="38"/>
        <v>1262.1600000000001</v>
      </c>
      <c r="AO59" s="51"/>
      <c r="AP59" s="51">
        <f t="shared" si="39"/>
        <v>315.54000000000002</v>
      </c>
      <c r="AQ59" s="51"/>
      <c r="AR59" s="51"/>
      <c r="AS59" s="51">
        <f t="shared" si="27"/>
        <v>631.08000000000004</v>
      </c>
      <c r="AT59" s="51"/>
      <c r="AU59" s="65"/>
      <c r="AV59" s="54"/>
      <c r="AW59" s="55"/>
      <c r="AX59" s="56">
        <f t="shared" si="29"/>
        <v>1262.1600000000001</v>
      </c>
      <c r="AY59" s="56"/>
      <c r="AZ59" s="54"/>
      <c r="BA59" s="54"/>
      <c r="BB59" s="114"/>
      <c r="BC59" s="60"/>
      <c r="BD59" s="54">
        <f t="shared" si="7"/>
        <v>0</v>
      </c>
      <c r="BE59" s="54"/>
      <c r="BF59" s="54"/>
      <c r="BG59" s="54"/>
      <c r="BH59" s="54"/>
      <c r="BI59" s="54"/>
      <c r="BJ59" s="54"/>
      <c r="BK59" s="54"/>
      <c r="BL59" s="54"/>
      <c r="BM59" s="58">
        <f t="shared" si="37"/>
        <v>0</v>
      </c>
      <c r="BN59" s="58"/>
      <c r="BO59" s="66">
        <v>0</v>
      </c>
      <c r="BP59" s="66"/>
      <c r="BQ59" s="66">
        <f t="shared" si="8"/>
        <v>0</v>
      </c>
      <c r="BR59" s="66"/>
      <c r="BS59" s="66">
        <f t="shared" si="1"/>
        <v>0</v>
      </c>
      <c r="BT59" s="58"/>
      <c r="BU59" s="54">
        <f t="shared" si="40"/>
        <v>0</v>
      </c>
      <c r="BV59" s="58"/>
      <c r="BW59" s="58">
        <f t="shared" si="16"/>
        <v>0</v>
      </c>
      <c r="BX59" s="58"/>
      <c r="BY59" s="91"/>
      <c r="BZ59" s="66">
        <f t="shared" si="30"/>
        <v>0</v>
      </c>
      <c r="CA59" s="66"/>
      <c r="CB59" s="54">
        <f t="shared" si="41"/>
        <v>0</v>
      </c>
      <c r="CC59" s="54"/>
      <c r="CD59" s="54">
        <f t="shared" si="42"/>
        <v>0</v>
      </c>
      <c r="CE59" s="54"/>
      <c r="CF59" s="54">
        <f t="shared" si="43"/>
        <v>0</v>
      </c>
      <c r="CG59" s="60"/>
      <c r="CH59" s="61">
        <f t="shared" si="4"/>
        <v>0</v>
      </c>
      <c r="CI59" s="200"/>
      <c r="CJ59" s="294"/>
      <c r="CK59" s="346">
        <f t="shared" si="5"/>
        <v>0</v>
      </c>
    </row>
    <row r="60" spans="1:89" ht="18" hidden="1" customHeight="1" x14ac:dyDescent="0.2">
      <c r="A60" s="4"/>
      <c r="B60" s="27"/>
      <c r="C60" s="28"/>
      <c r="D60" s="28"/>
      <c r="E60" s="29" t="s">
        <v>39</v>
      </c>
      <c r="F60" s="28"/>
      <c r="G60" s="30">
        <v>607.32000000000005</v>
      </c>
      <c r="H60" s="31"/>
      <c r="I60" s="30"/>
      <c r="J60" s="31"/>
      <c r="K60" s="30"/>
      <c r="L60" s="31"/>
      <c r="M60" s="32"/>
      <c r="N60" s="31"/>
      <c r="O60" s="30">
        <v>0</v>
      </c>
      <c r="P60" s="31"/>
      <c r="Q60" s="30"/>
      <c r="R60" s="31"/>
      <c r="S60" s="30"/>
      <c r="T60" s="31"/>
      <c r="U60" s="32"/>
      <c r="V60" s="31"/>
      <c r="W60" s="33">
        <v>0</v>
      </c>
      <c r="X60" s="33"/>
      <c r="Y60" s="33"/>
      <c r="Z60" s="33"/>
      <c r="AA60" s="33"/>
      <c r="AB60" s="33"/>
      <c r="AC60" s="33"/>
      <c r="AD60" s="34"/>
      <c r="AE60" s="34"/>
      <c r="AF60" s="49"/>
      <c r="AG60" s="50"/>
      <c r="AH60" s="51"/>
      <c r="AI60" s="51"/>
      <c r="AJ60" s="51"/>
      <c r="AK60" s="51"/>
      <c r="AL60" s="51"/>
      <c r="AM60" s="51"/>
      <c r="AN60" s="51">
        <f t="shared" si="38"/>
        <v>2429.2800000000002</v>
      </c>
      <c r="AO60" s="51"/>
      <c r="AP60" s="51">
        <f t="shared" si="39"/>
        <v>607.32000000000005</v>
      </c>
      <c r="AQ60" s="51"/>
      <c r="AR60" s="51"/>
      <c r="AS60" s="51">
        <f t="shared" si="27"/>
        <v>1214.6400000000001</v>
      </c>
      <c r="AT60" s="51"/>
      <c r="AU60" s="65"/>
      <c r="AV60" s="54"/>
      <c r="AW60" s="55"/>
      <c r="AX60" s="56">
        <f t="shared" si="29"/>
        <v>2429.2800000000002</v>
      </c>
      <c r="AY60" s="56"/>
      <c r="AZ60" s="54"/>
      <c r="BA60" s="54"/>
      <c r="BB60" s="114"/>
      <c r="BC60" s="60"/>
      <c r="BD60" s="54">
        <f t="shared" si="7"/>
        <v>0</v>
      </c>
      <c r="BE60" s="54"/>
      <c r="BF60" s="54"/>
      <c r="BG60" s="54"/>
      <c r="BH60" s="54"/>
      <c r="BI60" s="54"/>
      <c r="BJ60" s="54"/>
      <c r="BK60" s="54"/>
      <c r="BL60" s="54"/>
      <c r="BM60" s="58">
        <f t="shared" si="37"/>
        <v>0</v>
      </c>
      <c r="BN60" s="58"/>
      <c r="BO60" s="66">
        <v>75</v>
      </c>
      <c r="BP60" s="66"/>
      <c r="BQ60" s="66">
        <f t="shared" si="8"/>
        <v>150</v>
      </c>
      <c r="BR60" s="66"/>
      <c r="BS60" s="66">
        <f t="shared" si="1"/>
        <v>150</v>
      </c>
      <c r="BT60" s="58"/>
      <c r="BU60" s="54">
        <f t="shared" si="40"/>
        <v>0</v>
      </c>
      <c r="BV60" s="58"/>
      <c r="BW60" s="58">
        <f t="shared" si="16"/>
        <v>0</v>
      </c>
      <c r="BX60" s="58"/>
      <c r="BY60" s="91"/>
      <c r="BZ60" s="66">
        <f t="shared" si="30"/>
        <v>0</v>
      </c>
      <c r="CA60" s="66"/>
      <c r="CB60" s="54">
        <f t="shared" si="41"/>
        <v>75</v>
      </c>
      <c r="CC60" s="54"/>
      <c r="CD60" s="54">
        <f t="shared" si="42"/>
        <v>0</v>
      </c>
      <c r="CE60" s="54"/>
      <c r="CF60" s="54">
        <f t="shared" si="43"/>
        <v>-150</v>
      </c>
      <c r="CG60" s="60"/>
      <c r="CH60" s="61">
        <f t="shared" si="4"/>
        <v>-225</v>
      </c>
      <c r="CI60" s="200"/>
      <c r="CJ60" s="294"/>
      <c r="CK60" s="346">
        <f t="shared" si="5"/>
        <v>-12.5</v>
      </c>
    </row>
    <row r="61" spans="1:89" ht="18" hidden="1" customHeight="1" thickBot="1" x14ac:dyDescent="0.25">
      <c r="A61" s="4"/>
      <c r="B61" s="27"/>
      <c r="C61" s="28"/>
      <c r="D61" s="28"/>
      <c r="E61" s="29" t="s">
        <v>40</v>
      </c>
      <c r="F61" s="28"/>
      <c r="G61" s="68">
        <v>5757.88</v>
      </c>
      <c r="H61" s="31"/>
      <c r="I61" s="68">
        <v>11250</v>
      </c>
      <c r="J61" s="31"/>
      <c r="K61" s="68">
        <f>ROUND((G61-I61),5)</f>
        <v>-5492.12</v>
      </c>
      <c r="L61" s="31"/>
      <c r="M61" s="69">
        <f>ROUND(IF(I61=0, IF(G61=0, 0, 1), G61/I61),5)</f>
        <v>0.51180999999999999</v>
      </c>
      <c r="N61" s="31"/>
      <c r="O61" s="68">
        <v>11103.97</v>
      </c>
      <c r="P61" s="31"/>
      <c r="Q61" s="68">
        <v>11250</v>
      </c>
      <c r="R61" s="31"/>
      <c r="S61" s="68">
        <f>ROUND((O61-Q61),5)</f>
        <v>-146.03</v>
      </c>
      <c r="T61" s="31"/>
      <c r="U61" s="69">
        <f>ROUND(IF(Q61=0, IF(O61=0, 0, 1), O61/Q61),5)</f>
        <v>0.98702000000000001</v>
      </c>
      <c r="V61" s="31"/>
      <c r="W61" s="70">
        <v>14647.7</v>
      </c>
      <c r="X61" s="33"/>
      <c r="Y61" s="70">
        <v>11250</v>
      </c>
      <c r="Z61" s="33"/>
      <c r="AA61" s="70">
        <f>ROUND((W61-Y61),5)</f>
        <v>3397.7</v>
      </c>
      <c r="AB61" s="33"/>
      <c r="AC61" s="33"/>
      <c r="AD61" s="34"/>
      <c r="AE61" s="34"/>
      <c r="AF61" s="49"/>
      <c r="AG61" s="50"/>
      <c r="AH61" s="51"/>
      <c r="AI61" s="51"/>
      <c r="AJ61" s="51"/>
      <c r="AK61" s="51"/>
      <c r="AL61" s="51"/>
      <c r="AM61" s="51"/>
      <c r="AN61" s="51">
        <f t="shared" si="38"/>
        <v>126038.2</v>
      </c>
      <c r="AO61" s="51"/>
      <c r="AP61" s="51">
        <f t="shared" si="39"/>
        <v>31509.55</v>
      </c>
      <c r="AQ61" s="51"/>
      <c r="AR61" s="51">
        <f>ROUND(I61+Q61+Y61,5)</f>
        <v>33750</v>
      </c>
      <c r="AS61" s="51">
        <f t="shared" si="27"/>
        <v>63019.1</v>
      </c>
      <c r="AT61" s="51"/>
      <c r="AU61" s="65"/>
      <c r="AV61" s="54"/>
      <c r="AW61" s="55"/>
      <c r="AX61" s="56">
        <f t="shared" si="29"/>
        <v>126038.2</v>
      </c>
      <c r="AY61" s="56"/>
      <c r="AZ61" s="54"/>
      <c r="BA61" s="54"/>
      <c r="BB61" s="114"/>
      <c r="BC61" s="60"/>
      <c r="BD61" s="54">
        <f t="shared" si="7"/>
        <v>0</v>
      </c>
      <c r="BE61" s="54"/>
      <c r="BF61" s="54"/>
      <c r="BG61" s="54"/>
      <c r="BH61" s="54"/>
      <c r="BI61" s="54"/>
      <c r="BJ61" s="54"/>
      <c r="BK61" s="54"/>
      <c r="BL61" s="54"/>
      <c r="BM61" s="58">
        <f t="shared" si="37"/>
        <v>0</v>
      </c>
      <c r="BN61" s="58"/>
      <c r="BO61" s="66">
        <v>10946.86</v>
      </c>
      <c r="BP61" s="66"/>
      <c r="BQ61" s="66">
        <f t="shared" si="8"/>
        <v>21893.72</v>
      </c>
      <c r="BR61" s="66"/>
      <c r="BS61" s="66">
        <f t="shared" si="1"/>
        <v>21893.72</v>
      </c>
      <c r="BT61" s="58"/>
      <c r="BU61" s="54">
        <f t="shared" si="40"/>
        <v>0</v>
      </c>
      <c r="BV61" s="58"/>
      <c r="BW61" s="58">
        <f t="shared" si="16"/>
        <v>0</v>
      </c>
      <c r="BX61" s="58"/>
      <c r="BY61" s="91"/>
      <c r="BZ61" s="66">
        <f t="shared" si="30"/>
        <v>0</v>
      </c>
      <c r="CA61" s="66"/>
      <c r="CB61" s="54">
        <f t="shared" si="41"/>
        <v>10946.86</v>
      </c>
      <c r="CC61" s="54"/>
      <c r="CD61" s="54">
        <f t="shared" si="42"/>
        <v>0</v>
      </c>
      <c r="CE61" s="54"/>
      <c r="CF61" s="54">
        <f t="shared" si="43"/>
        <v>-21893.72</v>
      </c>
      <c r="CG61" s="60"/>
      <c r="CH61" s="61">
        <f t="shared" si="4"/>
        <v>-32840.58</v>
      </c>
      <c r="CI61" s="200"/>
      <c r="CJ61" s="294"/>
      <c r="CK61" s="346">
        <f t="shared" si="5"/>
        <v>-1824.4766666666667</v>
      </c>
    </row>
    <row r="62" spans="1:89" ht="14.25" customHeight="1" x14ac:dyDescent="0.2">
      <c r="A62" s="4"/>
      <c r="B62" s="27"/>
      <c r="C62" s="28"/>
      <c r="D62" s="28" t="s">
        <v>29</v>
      </c>
      <c r="E62" s="29"/>
      <c r="F62" s="28"/>
      <c r="G62" s="30">
        <f>ROUND(SUM(G51:G61),5)</f>
        <v>9740.44</v>
      </c>
      <c r="H62" s="31"/>
      <c r="I62" s="30">
        <f>ROUND(SUM(I51:I61),5)</f>
        <v>11250</v>
      </c>
      <c r="J62" s="31"/>
      <c r="K62" s="30">
        <f>ROUND((G62-I62),5)</f>
        <v>-1509.56</v>
      </c>
      <c r="L62" s="31"/>
      <c r="M62" s="32">
        <f>ROUND(IF(I62=0, IF(G62=0, 0, 1), G62/I62),5)</f>
        <v>0.86582000000000003</v>
      </c>
      <c r="N62" s="31"/>
      <c r="O62" s="30">
        <f>ROUND(SUM(O51:O61),5)</f>
        <v>11103.97</v>
      </c>
      <c r="P62" s="31"/>
      <c r="Q62" s="30">
        <f>ROUND(SUM(Q51:Q61),5)</f>
        <v>11250</v>
      </c>
      <c r="R62" s="31"/>
      <c r="S62" s="30">
        <f>ROUND((O62-Q62),5)</f>
        <v>-146.03</v>
      </c>
      <c r="T62" s="31"/>
      <c r="U62" s="32">
        <f>ROUND(IF(Q62=0, IF(O62=0, 0, 1), O62/Q62),5)</f>
        <v>0.98702000000000001</v>
      </c>
      <c r="V62" s="31"/>
      <c r="W62" s="33">
        <f>ROUND(SUM(W51:W61),5)</f>
        <v>14647.7</v>
      </c>
      <c r="X62" s="33"/>
      <c r="Y62" s="33">
        <f>ROUND(SUM(Y51:Y61),5)</f>
        <v>11250</v>
      </c>
      <c r="Z62" s="33"/>
      <c r="AA62" s="33">
        <f>ROUND((W62-Y62),5)</f>
        <v>3397.7</v>
      </c>
      <c r="AB62" s="33"/>
      <c r="AC62" s="33"/>
      <c r="AD62" s="34"/>
      <c r="AE62" s="34"/>
      <c r="AF62" s="49"/>
      <c r="AG62" s="50"/>
      <c r="AH62" s="51"/>
      <c r="AI62" s="51"/>
      <c r="AJ62" s="51">
        <v>136169.98000000001</v>
      </c>
      <c r="AK62" s="51"/>
      <c r="AL62" s="51">
        <v>135000</v>
      </c>
      <c r="AM62" s="51"/>
      <c r="AN62" s="51">
        <v>147949.18</v>
      </c>
      <c r="AO62" s="51"/>
      <c r="AP62" s="51">
        <v>64808.01</v>
      </c>
      <c r="AQ62" s="51"/>
      <c r="AR62" s="51">
        <f>ROUND(I62+Q62+Y62,5)</f>
        <v>33750</v>
      </c>
      <c r="AS62" s="51">
        <f t="shared" si="27"/>
        <v>129616.02</v>
      </c>
      <c r="AT62" s="51"/>
      <c r="AU62" s="65"/>
      <c r="AV62" s="54">
        <v>135000</v>
      </c>
      <c r="AW62" s="55"/>
      <c r="AX62" s="56">
        <f t="shared" si="29"/>
        <v>12949.179999999993</v>
      </c>
      <c r="AY62" s="56"/>
      <c r="AZ62" s="54">
        <v>53844.28</v>
      </c>
      <c r="BA62" s="54"/>
      <c r="BB62" s="114"/>
      <c r="BC62" s="60"/>
      <c r="BD62" s="54">
        <v>137769.35999999999</v>
      </c>
      <c r="BE62" s="54"/>
      <c r="BF62" s="54"/>
      <c r="BG62" s="54">
        <v>135000</v>
      </c>
      <c r="BH62" s="54"/>
      <c r="BI62" s="54">
        <v>147382.88</v>
      </c>
      <c r="BJ62" s="54"/>
      <c r="BK62" s="54">
        <v>135000</v>
      </c>
      <c r="BL62" s="54"/>
      <c r="BM62" s="58">
        <f t="shared" si="37"/>
        <v>0</v>
      </c>
      <c r="BN62" s="58"/>
      <c r="BO62" s="66">
        <v>65102.89</v>
      </c>
      <c r="BP62" s="66"/>
      <c r="BQ62" s="66">
        <f t="shared" si="8"/>
        <v>130205.78</v>
      </c>
      <c r="BR62" s="66"/>
      <c r="BS62" s="66">
        <f t="shared" si="1"/>
        <v>-4794.2200000000012</v>
      </c>
      <c r="BT62" s="58"/>
      <c r="BU62" s="54">
        <v>135000</v>
      </c>
      <c r="BV62" s="58"/>
      <c r="BW62" s="58">
        <f t="shared" si="16"/>
        <v>0</v>
      </c>
      <c r="BX62" s="58"/>
      <c r="BY62" s="91" t="s">
        <v>264</v>
      </c>
      <c r="BZ62" s="66">
        <f t="shared" si="30"/>
        <v>0</v>
      </c>
      <c r="CA62" s="66"/>
      <c r="CB62" s="54">
        <v>135000</v>
      </c>
      <c r="CC62" s="54"/>
      <c r="CD62" s="54">
        <v>135000</v>
      </c>
      <c r="CE62" s="54"/>
      <c r="CF62" s="54">
        <v>135000</v>
      </c>
      <c r="CG62" s="60"/>
      <c r="CH62" s="61">
        <f t="shared" si="4"/>
        <v>0</v>
      </c>
      <c r="CI62" s="200"/>
      <c r="CJ62" s="294"/>
      <c r="CK62" s="346">
        <f t="shared" si="5"/>
        <v>11250</v>
      </c>
    </row>
    <row r="63" spans="1:89" ht="18" hidden="1" customHeight="1" x14ac:dyDescent="0.2">
      <c r="A63" s="4"/>
      <c r="B63" s="27"/>
      <c r="C63" s="28"/>
      <c r="D63" s="28"/>
      <c r="E63" s="29" t="s">
        <v>42</v>
      </c>
      <c r="F63" s="28"/>
      <c r="G63" s="30">
        <v>850.16</v>
      </c>
      <c r="H63" s="31"/>
      <c r="I63" s="30"/>
      <c r="J63" s="31"/>
      <c r="K63" s="30"/>
      <c r="L63" s="31"/>
      <c r="M63" s="32"/>
      <c r="N63" s="31"/>
      <c r="O63" s="30">
        <v>0</v>
      </c>
      <c r="P63" s="31"/>
      <c r="Q63" s="30"/>
      <c r="R63" s="31"/>
      <c r="S63" s="30"/>
      <c r="T63" s="31"/>
      <c r="U63" s="32"/>
      <c r="V63" s="31"/>
      <c r="W63" s="33">
        <v>0</v>
      </c>
      <c r="X63" s="33"/>
      <c r="Y63" s="33"/>
      <c r="Z63" s="33"/>
      <c r="AA63" s="33"/>
      <c r="AB63" s="33"/>
      <c r="AC63" s="33"/>
      <c r="AD63" s="34"/>
      <c r="AE63" s="34"/>
      <c r="AF63" s="49"/>
      <c r="AG63" s="50"/>
      <c r="AH63" s="51"/>
      <c r="AI63" s="51"/>
      <c r="AJ63" s="51"/>
      <c r="AK63" s="51"/>
      <c r="AL63" s="51"/>
      <c r="AM63" s="51"/>
      <c r="AN63" s="51">
        <f t="shared" ref="AN63:AN69" si="44">AP63*4</f>
        <v>3400.64</v>
      </c>
      <c r="AO63" s="51"/>
      <c r="AP63" s="51">
        <f t="shared" si="39"/>
        <v>850.16</v>
      </c>
      <c r="AQ63" s="51"/>
      <c r="AR63" s="51"/>
      <c r="AS63" s="51">
        <f t="shared" si="27"/>
        <v>1700.32</v>
      </c>
      <c r="AT63" s="51"/>
      <c r="AU63" s="65"/>
      <c r="AV63" s="54"/>
      <c r="AW63" s="55"/>
      <c r="AX63" s="56">
        <f t="shared" si="29"/>
        <v>3400.64</v>
      </c>
      <c r="AY63" s="56"/>
      <c r="AZ63" s="54"/>
      <c r="BA63" s="54"/>
      <c r="BB63" s="114"/>
      <c r="BC63" s="60"/>
      <c r="BD63" s="54">
        <f t="shared" si="7"/>
        <v>0</v>
      </c>
      <c r="BE63" s="54"/>
      <c r="BF63" s="54"/>
      <c r="BG63" s="54"/>
      <c r="BH63" s="54"/>
      <c r="BI63" s="54"/>
      <c r="BJ63" s="54"/>
      <c r="BK63" s="54"/>
      <c r="BL63" s="54"/>
      <c r="BM63" s="58">
        <f t="shared" si="37"/>
        <v>0</v>
      </c>
      <c r="BN63" s="58"/>
      <c r="BO63" s="66">
        <v>5779.74</v>
      </c>
      <c r="BP63" s="66"/>
      <c r="BQ63" s="66">
        <f t="shared" si="8"/>
        <v>11559.48</v>
      </c>
      <c r="BR63" s="66"/>
      <c r="BS63" s="66">
        <f t="shared" si="1"/>
        <v>11559.48</v>
      </c>
      <c r="BT63" s="58"/>
      <c r="BU63" s="54">
        <f t="shared" ref="BU63:BU69" si="45">BM63-BI63</f>
        <v>0</v>
      </c>
      <c r="BV63" s="58"/>
      <c r="BW63" s="58">
        <f t="shared" si="16"/>
        <v>0</v>
      </c>
      <c r="BX63" s="58"/>
      <c r="BY63" s="91"/>
      <c r="BZ63" s="66">
        <f t="shared" si="30"/>
        <v>0</v>
      </c>
      <c r="CA63" s="66"/>
      <c r="CB63" s="54">
        <f t="shared" ref="CB63:CB69" si="46">BS63-BO63</f>
        <v>5779.74</v>
      </c>
      <c r="CC63" s="54"/>
      <c r="CD63" s="54">
        <f t="shared" ref="CD63:CD69" si="47">BT63-BP63</f>
        <v>0</v>
      </c>
      <c r="CE63" s="54"/>
      <c r="CF63" s="54">
        <f t="shared" ref="CF63:CF69" si="48">BU63-BQ63</f>
        <v>-11559.48</v>
      </c>
      <c r="CG63" s="60"/>
      <c r="CH63" s="61">
        <f t="shared" si="4"/>
        <v>-17339.22</v>
      </c>
      <c r="CI63" s="200"/>
      <c r="CJ63" s="294"/>
      <c r="CK63" s="346">
        <f t="shared" si="5"/>
        <v>-963.29</v>
      </c>
    </row>
    <row r="64" spans="1:89" ht="18" hidden="1" customHeight="1" x14ac:dyDescent="0.2">
      <c r="A64" s="4"/>
      <c r="B64" s="27"/>
      <c r="C64" s="28"/>
      <c r="D64" s="28"/>
      <c r="E64" s="29" t="s">
        <v>43</v>
      </c>
      <c r="F64" s="28"/>
      <c r="G64" s="30">
        <v>417.15</v>
      </c>
      <c r="H64" s="31"/>
      <c r="I64" s="30"/>
      <c r="J64" s="31"/>
      <c r="K64" s="30"/>
      <c r="L64" s="31"/>
      <c r="M64" s="32"/>
      <c r="N64" s="31"/>
      <c r="O64" s="30">
        <v>0</v>
      </c>
      <c r="P64" s="31"/>
      <c r="Q64" s="30"/>
      <c r="R64" s="31"/>
      <c r="S64" s="30"/>
      <c r="T64" s="31"/>
      <c r="U64" s="32"/>
      <c r="V64" s="31"/>
      <c r="W64" s="33">
        <v>0</v>
      </c>
      <c r="X64" s="33"/>
      <c r="Y64" s="33"/>
      <c r="Z64" s="33"/>
      <c r="AA64" s="33"/>
      <c r="AB64" s="33"/>
      <c r="AC64" s="33"/>
      <c r="AD64" s="34"/>
      <c r="AE64" s="34"/>
      <c r="AF64" s="49"/>
      <c r="AG64" s="50"/>
      <c r="AH64" s="51"/>
      <c r="AI64" s="51"/>
      <c r="AJ64" s="51"/>
      <c r="AK64" s="51"/>
      <c r="AL64" s="51"/>
      <c r="AM64" s="51"/>
      <c r="AN64" s="51">
        <f t="shared" si="44"/>
        <v>1668.6</v>
      </c>
      <c r="AO64" s="51"/>
      <c r="AP64" s="51">
        <f t="shared" si="39"/>
        <v>417.15</v>
      </c>
      <c r="AQ64" s="51"/>
      <c r="AR64" s="51"/>
      <c r="AS64" s="51">
        <f t="shared" si="27"/>
        <v>834.3</v>
      </c>
      <c r="AT64" s="51"/>
      <c r="AU64" s="65"/>
      <c r="AV64" s="54"/>
      <c r="AW64" s="55"/>
      <c r="AX64" s="56">
        <f t="shared" si="29"/>
        <v>1668.6</v>
      </c>
      <c r="AY64" s="56"/>
      <c r="AZ64" s="54"/>
      <c r="BA64" s="54"/>
      <c r="BB64" s="114"/>
      <c r="BC64" s="60"/>
      <c r="BD64" s="54">
        <f t="shared" si="7"/>
        <v>0</v>
      </c>
      <c r="BE64" s="54"/>
      <c r="BF64" s="54"/>
      <c r="BG64" s="54"/>
      <c r="BH64" s="54"/>
      <c r="BI64" s="54"/>
      <c r="BJ64" s="54"/>
      <c r="BK64" s="54"/>
      <c r="BL64" s="54"/>
      <c r="BM64" s="58">
        <f t="shared" si="37"/>
        <v>0</v>
      </c>
      <c r="BN64" s="58"/>
      <c r="BO64" s="66">
        <v>278.20999999999998</v>
      </c>
      <c r="BP64" s="66"/>
      <c r="BQ64" s="66">
        <f t="shared" si="8"/>
        <v>556.41999999999996</v>
      </c>
      <c r="BR64" s="66"/>
      <c r="BS64" s="66">
        <f t="shared" si="1"/>
        <v>556.41999999999996</v>
      </c>
      <c r="BT64" s="58"/>
      <c r="BU64" s="54">
        <f t="shared" si="45"/>
        <v>0</v>
      </c>
      <c r="BV64" s="58"/>
      <c r="BW64" s="58">
        <f t="shared" si="16"/>
        <v>0</v>
      </c>
      <c r="BX64" s="58"/>
      <c r="BY64" s="91"/>
      <c r="BZ64" s="66">
        <f t="shared" si="30"/>
        <v>0</v>
      </c>
      <c r="CA64" s="66"/>
      <c r="CB64" s="54">
        <f t="shared" si="46"/>
        <v>278.20999999999998</v>
      </c>
      <c r="CC64" s="54"/>
      <c r="CD64" s="54">
        <f t="shared" si="47"/>
        <v>0</v>
      </c>
      <c r="CE64" s="54"/>
      <c r="CF64" s="54">
        <f t="shared" si="48"/>
        <v>-556.41999999999996</v>
      </c>
      <c r="CG64" s="60"/>
      <c r="CH64" s="61">
        <f t="shared" si="4"/>
        <v>-834.62999999999988</v>
      </c>
      <c r="CI64" s="200"/>
      <c r="CJ64" s="294"/>
      <c r="CK64" s="346">
        <f t="shared" si="5"/>
        <v>-46.368333333333332</v>
      </c>
    </row>
    <row r="65" spans="1:89" ht="18" hidden="1" customHeight="1" x14ac:dyDescent="0.2">
      <c r="A65" s="4"/>
      <c r="B65" s="27"/>
      <c r="C65" s="28"/>
      <c r="D65" s="28"/>
      <c r="E65" s="29" t="s">
        <v>44</v>
      </c>
      <c r="F65" s="28"/>
      <c r="G65" s="30">
        <v>793.1</v>
      </c>
      <c r="H65" s="31"/>
      <c r="I65" s="30"/>
      <c r="J65" s="31"/>
      <c r="K65" s="30"/>
      <c r="L65" s="31"/>
      <c r="M65" s="32"/>
      <c r="N65" s="31"/>
      <c r="O65" s="30">
        <v>0</v>
      </c>
      <c r="P65" s="31"/>
      <c r="Q65" s="30"/>
      <c r="R65" s="31"/>
      <c r="S65" s="30"/>
      <c r="T65" s="31"/>
      <c r="U65" s="32"/>
      <c r="V65" s="31"/>
      <c r="W65" s="33">
        <v>0</v>
      </c>
      <c r="X65" s="33"/>
      <c r="Y65" s="33"/>
      <c r="Z65" s="33"/>
      <c r="AA65" s="33"/>
      <c r="AB65" s="33"/>
      <c r="AC65" s="33"/>
      <c r="AD65" s="34"/>
      <c r="AE65" s="34"/>
      <c r="AF65" s="49"/>
      <c r="AG65" s="50"/>
      <c r="AH65" s="51"/>
      <c r="AI65" s="51"/>
      <c r="AJ65" s="51"/>
      <c r="AK65" s="51"/>
      <c r="AL65" s="51"/>
      <c r="AM65" s="51"/>
      <c r="AN65" s="51">
        <f t="shared" si="44"/>
        <v>3172.4</v>
      </c>
      <c r="AO65" s="51"/>
      <c r="AP65" s="51">
        <f t="shared" si="39"/>
        <v>793.1</v>
      </c>
      <c r="AQ65" s="51"/>
      <c r="AR65" s="51"/>
      <c r="AS65" s="51">
        <f t="shared" si="27"/>
        <v>1586.2</v>
      </c>
      <c r="AT65" s="51"/>
      <c r="AU65" s="65"/>
      <c r="AV65" s="54"/>
      <c r="AW65" s="55"/>
      <c r="AX65" s="56">
        <f t="shared" si="29"/>
        <v>3172.4</v>
      </c>
      <c r="AY65" s="56"/>
      <c r="AZ65" s="54"/>
      <c r="BA65" s="54"/>
      <c r="BB65" s="114"/>
      <c r="BC65" s="60"/>
      <c r="BD65" s="54">
        <f t="shared" si="7"/>
        <v>0</v>
      </c>
      <c r="BE65" s="54"/>
      <c r="BF65" s="54"/>
      <c r="BG65" s="54"/>
      <c r="BH65" s="54"/>
      <c r="BI65" s="54"/>
      <c r="BJ65" s="54"/>
      <c r="BK65" s="54"/>
      <c r="BL65" s="54"/>
      <c r="BM65" s="58">
        <f t="shared" si="37"/>
        <v>0</v>
      </c>
      <c r="BN65" s="58"/>
      <c r="BO65" s="66">
        <v>0</v>
      </c>
      <c r="BP65" s="66"/>
      <c r="BQ65" s="66">
        <f t="shared" si="8"/>
        <v>0</v>
      </c>
      <c r="BR65" s="66"/>
      <c r="BS65" s="66">
        <f t="shared" si="1"/>
        <v>0</v>
      </c>
      <c r="BT65" s="58"/>
      <c r="BU65" s="54">
        <f t="shared" si="45"/>
        <v>0</v>
      </c>
      <c r="BV65" s="58"/>
      <c r="BW65" s="58">
        <f t="shared" si="16"/>
        <v>0</v>
      </c>
      <c r="BX65" s="58"/>
      <c r="BY65" s="91"/>
      <c r="BZ65" s="66">
        <f t="shared" si="30"/>
        <v>0</v>
      </c>
      <c r="CA65" s="66"/>
      <c r="CB65" s="54">
        <f t="shared" si="46"/>
        <v>0</v>
      </c>
      <c r="CC65" s="54"/>
      <c r="CD65" s="54">
        <f t="shared" si="47"/>
        <v>0</v>
      </c>
      <c r="CE65" s="54"/>
      <c r="CF65" s="54">
        <f t="shared" si="48"/>
        <v>0</v>
      </c>
      <c r="CG65" s="60"/>
      <c r="CH65" s="61">
        <f t="shared" si="4"/>
        <v>0</v>
      </c>
      <c r="CI65" s="200"/>
      <c r="CJ65" s="294"/>
      <c r="CK65" s="346">
        <f t="shared" si="5"/>
        <v>0</v>
      </c>
    </row>
    <row r="66" spans="1:89" ht="18" hidden="1" customHeight="1" x14ac:dyDescent="0.2">
      <c r="A66" s="4"/>
      <c r="B66" s="27"/>
      <c r="C66" s="28"/>
      <c r="D66" s="28"/>
      <c r="E66" s="29" t="s">
        <v>45</v>
      </c>
      <c r="F66" s="28"/>
      <c r="G66" s="30">
        <v>448.15</v>
      </c>
      <c r="H66" s="31"/>
      <c r="I66" s="30"/>
      <c r="J66" s="31"/>
      <c r="K66" s="30"/>
      <c r="L66" s="31"/>
      <c r="M66" s="32"/>
      <c r="N66" s="31"/>
      <c r="O66" s="30">
        <v>0</v>
      </c>
      <c r="P66" s="31"/>
      <c r="Q66" s="30"/>
      <c r="R66" s="31"/>
      <c r="S66" s="30"/>
      <c r="T66" s="31"/>
      <c r="U66" s="32"/>
      <c r="V66" s="31"/>
      <c r="W66" s="33">
        <v>0</v>
      </c>
      <c r="X66" s="33"/>
      <c r="Y66" s="33"/>
      <c r="Z66" s="33"/>
      <c r="AA66" s="33"/>
      <c r="AB66" s="33"/>
      <c r="AC66" s="33"/>
      <c r="AD66" s="34"/>
      <c r="AE66" s="34"/>
      <c r="AF66" s="49"/>
      <c r="AG66" s="50"/>
      <c r="AH66" s="51"/>
      <c r="AI66" s="51"/>
      <c r="AJ66" s="51"/>
      <c r="AK66" s="51"/>
      <c r="AL66" s="51"/>
      <c r="AM66" s="51"/>
      <c r="AN66" s="51">
        <f t="shared" si="44"/>
        <v>1792.6</v>
      </c>
      <c r="AO66" s="51"/>
      <c r="AP66" s="51">
        <f t="shared" si="39"/>
        <v>448.15</v>
      </c>
      <c r="AQ66" s="51"/>
      <c r="AR66" s="51"/>
      <c r="AS66" s="51">
        <f t="shared" si="27"/>
        <v>896.3</v>
      </c>
      <c r="AT66" s="51"/>
      <c r="AU66" s="65"/>
      <c r="AV66" s="54"/>
      <c r="AW66" s="55"/>
      <c r="AX66" s="56">
        <f t="shared" si="29"/>
        <v>1792.6</v>
      </c>
      <c r="AY66" s="56"/>
      <c r="AZ66" s="54"/>
      <c r="BA66" s="54"/>
      <c r="BB66" s="114"/>
      <c r="BC66" s="60"/>
      <c r="BD66" s="54">
        <f t="shared" si="7"/>
        <v>0</v>
      </c>
      <c r="BE66" s="54"/>
      <c r="BF66" s="54"/>
      <c r="BG66" s="54"/>
      <c r="BH66" s="54"/>
      <c r="BI66" s="54"/>
      <c r="BJ66" s="54"/>
      <c r="BK66" s="54"/>
      <c r="BL66" s="54"/>
      <c r="BM66" s="58">
        <f t="shared" si="37"/>
        <v>0</v>
      </c>
      <c r="BN66" s="58"/>
      <c r="BO66" s="66">
        <v>6057.95</v>
      </c>
      <c r="BP66" s="66"/>
      <c r="BQ66" s="66">
        <f t="shared" si="8"/>
        <v>12115.9</v>
      </c>
      <c r="BR66" s="66"/>
      <c r="BS66" s="66">
        <f t="shared" si="1"/>
        <v>12115.9</v>
      </c>
      <c r="BT66" s="58"/>
      <c r="BU66" s="54">
        <f t="shared" si="45"/>
        <v>0</v>
      </c>
      <c r="BV66" s="58"/>
      <c r="BW66" s="58">
        <f t="shared" si="16"/>
        <v>0</v>
      </c>
      <c r="BX66" s="58"/>
      <c r="BY66" s="91"/>
      <c r="BZ66" s="66">
        <f t="shared" si="30"/>
        <v>0</v>
      </c>
      <c r="CA66" s="66"/>
      <c r="CB66" s="54">
        <f t="shared" si="46"/>
        <v>6057.95</v>
      </c>
      <c r="CC66" s="54"/>
      <c r="CD66" s="54">
        <f t="shared" si="47"/>
        <v>0</v>
      </c>
      <c r="CE66" s="54"/>
      <c r="CF66" s="54">
        <f t="shared" si="48"/>
        <v>-12115.9</v>
      </c>
      <c r="CG66" s="60"/>
      <c r="CH66" s="61">
        <f t="shared" si="4"/>
        <v>-18173.849999999999</v>
      </c>
      <c r="CI66" s="200"/>
      <c r="CJ66" s="294"/>
      <c r="CK66" s="346">
        <f t="shared" si="5"/>
        <v>-1009.6583333333333</v>
      </c>
    </row>
    <row r="67" spans="1:89" ht="18" hidden="1" customHeight="1" x14ac:dyDescent="0.2">
      <c r="A67" s="4"/>
      <c r="B67" s="27"/>
      <c r="C67" s="28"/>
      <c r="D67" s="28"/>
      <c r="E67" s="29" t="s">
        <v>46</v>
      </c>
      <c r="F67" s="28"/>
      <c r="G67" s="30">
        <v>489.58</v>
      </c>
      <c r="H67" s="31"/>
      <c r="I67" s="30"/>
      <c r="J67" s="31"/>
      <c r="K67" s="30"/>
      <c r="L67" s="31"/>
      <c r="M67" s="32"/>
      <c r="N67" s="31"/>
      <c r="O67" s="30">
        <v>0</v>
      </c>
      <c r="P67" s="31"/>
      <c r="Q67" s="30"/>
      <c r="R67" s="31"/>
      <c r="S67" s="30"/>
      <c r="T67" s="31"/>
      <c r="U67" s="32"/>
      <c r="V67" s="31"/>
      <c r="W67" s="33">
        <v>0</v>
      </c>
      <c r="X67" s="33"/>
      <c r="Y67" s="33"/>
      <c r="Z67" s="33"/>
      <c r="AA67" s="33"/>
      <c r="AB67" s="33"/>
      <c r="AC67" s="33"/>
      <c r="AD67" s="34"/>
      <c r="AE67" s="34"/>
      <c r="AF67" s="49"/>
      <c r="AG67" s="50"/>
      <c r="AH67" s="51"/>
      <c r="AI67" s="51"/>
      <c r="AJ67" s="51"/>
      <c r="AK67" s="51"/>
      <c r="AL67" s="51"/>
      <c r="AM67" s="51"/>
      <c r="AN67" s="51">
        <f t="shared" si="44"/>
        <v>1958.32</v>
      </c>
      <c r="AO67" s="51"/>
      <c r="AP67" s="51">
        <f t="shared" si="39"/>
        <v>489.58</v>
      </c>
      <c r="AQ67" s="51"/>
      <c r="AR67" s="51"/>
      <c r="AS67" s="51">
        <f t="shared" si="27"/>
        <v>979.16</v>
      </c>
      <c r="AT67" s="51"/>
      <c r="AU67" s="65"/>
      <c r="AV67" s="54"/>
      <c r="AW67" s="55"/>
      <c r="AX67" s="56">
        <f t="shared" si="29"/>
        <v>1958.32</v>
      </c>
      <c r="AY67" s="56"/>
      <c r="AZ67" s="54"/>
      <c r="BA67" s="54"/>
      <c r="BB67" s="114"/>
      <c r="BC67" s="60"/>
      <c r="BD67" s="54">
        <f t="shared" si="7"/>
        <v>0</v>
      </c>
      <c r="BE67" s="54"/>
      <c r="BF67" s="54"/>
      <c r="BG67" s="54"/>
      <c r="BH67" s="54"/>
      <c r="BI67" s="54"/>
      <c r="BJ67" s="54"/>
      <c r="BK67" s="54"/>
      <c r="BL67" s="54"/>
      <c r="BM67" s="58">
        <f t="shared" si="37"/>
        <v>0</v>
      </c>
      <c r="BN67" s="58"/>
      <c r="BO67" s="66">
        <v>7774.91</v>
      </c>
      <c r="BP67" s="66"/>
      <c r="BQ67" s="66">
        <f t="shared" si="8"/>
        <v>15549.82</v>
      </c>
      <c r="BR67" s="66"/>
      <c r="BS67" s="66">
        <f t="shared" si="1"/>
        <v>15549.82</v>
      </c>
      <c r="BT67" s="58"/>
      <c r="BU67" s="54">
        <f t="shared" si="45"/>
        <v>0</v>
      </c>
      <c r="BV67" s="58"/>
      <c r="BW67" s="58">
        <f t="shared" si="16"/>
        <v>0</v>
      </c>
      <c r="BX67" s="58"/>
      <c r="BY67" s="91"/>
      <c r="BZ67" s="66">
        <f t="shared" si="30"/>
        <v>0</v>
      </c>
      <c r="CA67" s="66"/>
      <c r="CB67" s="54">
        <f t="shared" si="46"/>
        <v>7774.91</v>
      </c>
      <c r="CC67" s="54"/>
      <c r="CD67" s="54">
        <f t="shared" si="47"/>
        <v>0</v>
      </c>
      <c r="CE67" s="54"/>
      <c r="CF67" s="54">
        <f t="shared" si="48"/>
        <v>-15549.82</v>
      </c>
      <c r="CG67" s="60"/>
      <c r="CH67" s="61">
        <f t="shared" si="4"/>
        <v>-23324.73</v>
      </c>
      <c r="CI67" s="200"/>
      <c r="CJ67" s="294"/>
      <c r="CK67" s="346">
        <f t="shared" si="5"/>
        <v>-1295.8183333333334</v>
      </c>
    </row>
    <row r="68" spans="1:89" ht="18" hidden="1" customHeight="1" x14ac:dyDescent="0.2">
      <c r="A68" s="4"/>
      <c r="B68" s="27"/>
      <c r="C68" s="28"/>
      <c r="D68" s="28"/>
      <c r="E68" s="29" t="s">
        <v>47</v>
      </c>
      <c r="F68" s="28"/>
      <c r="G68" s="30">
        <v>2740.52</v>
      </c>
      <c r="H68" s="31"/>
      <c r="I68" s="30"/>
      <c r="J68" s="31"/>
      <c r="K68" s="30"/>
      <c r="L68" s="31"/>
      <c r="M68" s="32"/>
      <c r="N68" s="31"/>
      <c r="O68" s="30">
        <v>0</v>
      </c>
      <c r="P68" s="31"/>
      <c r="Q68" s="30"/>
      <c r="R68" s="31"/>
      <c r="S68" s="30"/>
      <c r="T68" s="31"/>
      <c r="U68" s="32"/>
      <c r="V68" s="31"/>
      <c r="W68" s="33">
        <v>0</v>
      </c>
      <c r="X68" s="33"/>
      <c r="Y68" s="33"/>
      <c r="Z68" s="33"/>
      <c r="AA68" s="33"/>
      <c r="AB68" s="33"/>
      <c r="AC68" s="33"/>
      <c r="AD68" s="34"/>
      <c r="AE68" s="34"/>
      <c r="AF68" s="49"/>
      <c r="AG68" s="50"/>
      <c r="AH68" s="51"/>
      <c r="AI68" s="51"/>
      <c r="AJ68" s="51"/>
      <c r="AK68" s="51"/>
      <c r="AL68" s="51"/>
      <c r="AM68" s="51"/>
      <c r="AN68" s="51">
        <f t="shared" si="44"/>
        <v>10962.08</v>
      </c>
      <c r="AO68" s="51"/>
      <c r="AP68" s="51">
        <f t="shared" si="39"/>
        <v>2740.52</v>
      </c>
      <c r="AQ68" s="51"/>
      <c r="AR68" s="51"/>
      <c r="AS68" s="51">
        <f t="shared" si="27"/>
        <v>5481.04</v>
      </c>
      <c r="AT68" s="51"/>
      <c r="AU68" s="65"/>
      <c r="AV68" s="54"/>
      <c r="AW68" s="55"/>
      <c r="AX68" s="56">
        <f t="shared" si="29"/>
        <v>10962.08</v>
      </c>
      <c r="AY68" s="56"/>
      <c r="AZ68" s="54"/>
      <c r="BA68" s="54"/>
      <c r="BB68" s="114"/>
      <c r="BC68" s="60"/>
      <c r="BD68" s="54">
        <f t="shared" si="7"/>
        <v>0</v>
      </c>
      <c r="BE68" s="54"/>
      <c r="BF68" s="54"/>
      <c r="BG68" s="54"/>
      <c r="BH68" s="54"/>
      <c r="BI68" s="54"/>
      <c r="BJ68" s="54"/>
      <c r="BK68" s="54"/>
      <c r="BL68" s="54"/>
      <c r="BM68" s="58">
        <f t="shared" si="37"/>
        <v>0</v>
      </c>
      <c r="BN68" s="58"/>
      <c r="BO68" s="66">
        <v>3972.7</v>
      </c>
      <c r="BP68" s="66"/>
      <c r="BQ68" s="66">
        <f t="shared" si="8"/>
        <v>7945.4</v>
      </c>
      <c r="BR68" s="66"/>
      <c r="BS68" s="66">
        <f t="shared" si="1"/>
        <v>7945.4</v>
      </c>
      <c r="BT68" s="58"/>
      <c r="BU68" s="54">
        <f t="shared" si="45"/>
        <v>0</v>
      </c>
      <c r="BV68" s="58"/>
      <c r="BW68" s="58">
        <f t="shared" si="16"/>
        <v>0</v>
      </c>
      <c r="BX68" s="58"/>
      <c r="BY68" s="91"/>
      <c r="BZ68" s="66">
        <f t="shared" si="30"/>
        <v>0</v>
      </c>
      <c r="CA68" s="66"/>
      <c r="CB68" s="54">
        <f t="shared" si="46"/>
        <v>3972.7</v>
      </c>
      <c r="CC68" s="54"/>
      <c r="CD68" s="54">
        <f t="shared" si="47"/>
        <v>0</v>
      </c>
      <c r="CE68" s="54"/>
      <c r="CF68" s="54">
        <f t="shared" si="48"/>
        <v>-7945.4</v>
      </c>
      <c r="CG68" s="60"/>
      <c r="CH68" s="61">
        <f t="shared" si="4"/>
        <v>-11918.099999999999</v>
      </c>
      <c r="CI68" s="200"/>
      <c r="CJ68" s="294"/>
      <c r="CK68" s="346">
        <f t="shared" si="5"/>
        <v>-662.11666666666667</v>
      </c>
    </row>
    <row r="69" spans="1:89" ht="18" hidden="1" customHeight="1" thickBot="1" x14ac:dyDescent="0.25">
      <c r="A69" s="4"/>
      <c r="B69" s="27"/>
      <c r="C69" s="28"/>
      <c r="D69" s="28"/>
      <c r="E69" s="29" t="s">
        <v>48</v>
      </c>
      <c r="F69" s="28"/>
      <c r="G69" s="68">
        <v>10027.549999999999</v>
      </c>
      <c r="H69" s="31"/>
      <c r="I69" s="68">
        <v>9500</v>
      </c>
      <c r="J69" s="31"/>
      <c r="K69" s="68">
        <f>ROUND((G69-I69),5)</f>
        <v>527.54999999999995</v>
      </c>
      <c r="L69" s="31"/>
      <c r="M69" s="69">
        <f>ROUND(IF(I69=0, IF(G69=0, 0, 1), G69/I69),5)</f>
        <v>1.0555300000000001</v>
      </c>
      <c r="N69" s="31"/>
      <c r="O69" s="68">
        <v>10735.26</v>
      </c>
      <c r="P69" s="31"/>
      <c r="Q69" s="68">
        <v>9500</v>
      </c>
      <c r="R69" s="31"/>
      <c r="S69" s="68">
        <f>ROUND((O69-Q69),5)</f>
        <v>1235.26</v>
      </c>
      <c r="T69" s="31"/>
      <c r="U69" s="69">
        <f>ROUND(IF(Q69=0, IF(O69=0, 0, 1), O69/Q69),5)</f>
        <v>1.1300300000000001</v>
      </c>
      <c r="V69" s="31"/>
      <c r="W69" s="33">
        <v>13797.58</v>
      </c>
      <c r="X69" s="33"/>
      <c r="Y69" s="70">
        <v>9500</v>
      </c>
      <c r="Z69" s="33"/>
      <c r="AA69" s="70">
        <f>ROUND((W69-Y69),5)</f>
        <v>4297.58</v>
      </c>
      <c r="AB69" s="33"/>
      <c r="AC69" s="33"/>
      <c r="AD69" s="34"/>
      <c r="AE69" s="34"/>
      <c r="AF69" s="49"/>
      <c r="AG69" s="50"/>
      <c r="AH69" s="51"/>
      <c r="AI69" s="51"/>
      <c r="AJ69" s="51"/>
      <c r="AK69" s="51"/>
      <c r="AL69" s="51">
        <v>114000</v>
      </c>
      <c r="AM69" s="51"/>
      <c r="AN69" s="51">
        <f t="shared" si="44"/>
        <v>138241.56</v>
      </c>
      <c r="AO69" s="51"/>
      <c r="AP69" s="51">
        <f t="shared" si="39"/>
        <v>34560.39</v>
      </c>
      <c r="AQ69" s="51"/>
      <c r="AR69" s="51">
        <f>ROUND(I69+Q69+Y69,5)</f>
        <v>28500</v>
      </c>
      <c r="AS69" s="51">
        <f t="shared" si="27"/>
        <v>69120.78</v>
      </c>
      <c r="AT69" s="51"/>
      <c r="AU69" s="65"/>
      <c r="AV69" s="54"/>
      <c r="AW69" s="55"/>
      <c r="AX69" s="56">
        <f t="shared" si="29"/>
        <v>24241.559999999998</v>
      </c>
      <c r="AY69" s="56"/>
      <c r="AZ69" s="54"/>
      <c r="BA69" s="54"/>
      <c r="BB69" s="114"/>
      <c r="BC69" s="60"/>
      <c r="BD69" s="54">
        <f t="shared" si="7"/>
        <v>0</v>
      </c>
      <c r="BE69" s="54"/>
      <c r="BF69" s="54"/>
      <c r="BG69" s="54"/>
      <c r="BH69" s="54"/>
      <c r="BI69" s="54"/>
      <c r="BJ69" s="54"/>
      <c r="BK69" s="54"/>
      <c r="BL69" s="54"/>
      <c r="BM69" s="58">
        <f t="shared" si="37"/>
        <v>0</v>
      </c>
      <c r="BN69" s="58"/>
      <c r="BO69" s="66">
        <v>0</v>
      </c>
      <c r="BP69" s="66"/>
      <c r="BQ69" s="66">
        <f t="shared" si="8"/>
        <v>0</v>
      </c>
      <c r="BR69" s="66"/>
      <c r="BS69" s="66">
        <f t="shared" ref="BS69:BS122" si="49">BQ69-BK69</f>
        <v>0</v>
      </c>
      <c r="BT69" s="58"/>
      <c r="BU69" s="54">
        <f t="shared" si="45"/>
        <v>0</v>
      </c>
      <c r="BV69" s="58"/>
      <c r="BW69" s="58">
        <f t="shared" si="16"/>
        <v>0</v>
      </c>
      <c r="BX69" s="58"/>
      <c r="BY69" s="91"/>
      <c r="BZ69" s="66">
        <f t="shared" si="30"/>
        <v>0</v>
      </c>
      <c r="CA69" s="66"/>
      <c r="CB69" s="54">
        <f t="shared" si="46"/>
        <v>0</v>
      </c>
      <c r="CC69" s="54"/>
      <c r="CD69" s="54">
        <f t="shared" si="47"/>
        <v>0</v>
      </c>
      <c r="CE69" s="54"/>
      <c r="CF69" s="54">
        <f t="shared" si="48"/>
        <v>0</v>
      </c>
      <c r="CG69" s="60"/>
      <c r="CH69" s="61">
        <f t="shared" si="4"/>
        <v>0</v>
      </c>
      <c r="CI69" s="200"/>
      <c r="CJ69" s="294"/>
      <c r="CK69" s="346">
        <f t="shared" si="5"/>
        <v>0</v>
      </c>
    </row>
    <row r="70" spans="1:89" ht="17.25" customHeight="1" thickBot="1" x14ac:dyDescent="0.25">
      <c r="A70" s="4"/>
      <c r="B70" s="27"/>
      <c r="C70" s="28"/>
      <c r="D70" s="28" t="s">
        <v>41</v>
      </c>
      <c r="E70" s="29"/>
      <c r="F70" s="28"/>
      <c r="G70" s="30">
        <f>ROUND(SUM(G63:G69),5)</f>
        <v>15766.21</v>
      </c>
      <c r="H70" s="31"/>
      <c r="I70" s="30">
        <f>ROUND(SUM(I63:I69),5)</f>
        <v>9500</v>
      </c>
      <c r="J70" s="31"/>
      <c r="K70" s="30">
        <f>ROUND((G70-I70),5)</f>
        <v>6266.21</v>
      </c>
      <c r="L70" s="31"/>
      <c r="M70" s="32">
        <f>ROUND(IF(I70=0, IF(G70=0, 0, 1), G70/I70),5)</f>
        <v>1.6596</v>
      </c>
      <c r="N70" s="31"/>
      <c r="O70" s="30">
        <f>ROUND(SUM(O63:O69),5)</f>
        <v>10735.26</v>
      </c>
      <c r="P70" s="31"/>
      <c r="Q70" s="30">
        <f>ROUND(SUM(Q63:Q69),5)</f>
        <v>9500</v>
      </c>
      <c r="R70" s="31"/>
      <c r="S70" s="30">
        <f>ROUND((O70-Q70),5)</f>
        <v>1235.26</v>
      </c>
      <c r="T70" s="31"/>
      <c r="U70" s="32">
        <f>ROUND(IF(Q70=0, IF(O70=0, 0, 1), O70/Q70),5)</f>
        <v>1.1300300000000001</v>
      </c>
      <c r="V70" s="31"/>
      <c r="W70" s="33">
        <f>ROUND(SUM(W63:W69),5)</f>
        <v>13797.58</v>
      </c>
      <c r="X70" s="33"/>
      <c r="Y70" s="33">
        <f>ROUND(SUM(Y63:Y69),5)</f>
        <v>9500</v>
      </c>
      <c r="Z70" s="33"/>
      <c r="AA70" s="33">
        <f>ROUND((W70-Y70),5)</f>
        <v>4297.58</v>
      </c>
      <c r="AB70" s="33"/>
      <c r="AC70" s="33"/>
      <c r="AD70" s="34"/>
      <c r="AE70" s="34"/>
      <c r="AF70" s="49"/>
      <c r="AG70" s="50"/>
      <c r="AH70" s="51"/>
      <c r="AI70" s="51"/>
      <c r="AJ70" s="51">
        <v>83590.459999999992</v>
      </c>
      <c r="AK70" s="51"/>
      <c r="AL70" s="51">
        <v>114000</v>
      </c>
      <c r="AM70" s="51"/>
      <c r="AN70" s="51">
        <v>66997.8</v>
      </c>
      <c r="AO70" s="51"/>
      <c r="AP70" s="51">
        <v>51370.64</v>
      </c>
      <c r="AQ70" s="51"/>
      <c r="AR70" s="51">
        <f>ROUND(I70+Q70+Y70,5)</f>
        <v>28500</v>
      </c>
      <c r="AS70" s="51">
        <f t="shared" si="27"/>
        <v>102741.28</v>
      </c>
      <c r="AT70" s="51"/>
      <c r="AU70" s="53"/>
      <c r="AV70" s="54">
        <v>109000</v>
      </c>
      <c r="AW70" s="55"/>
      <c r="AX70" s="56">
        <f t="shared" si="29"/>
        <v>-47002.2</v>
      </c>
      <c r="AY70" s="56"/>
      <c r="AZ70" s="54">
        <v>43938.400000000001</v>
      </c>
      <c r="BA70" s="54"/>
      <c r="BB70" s="114"/>
      <c r="BC70" s="60"/>
      <c r="BD70" s="54">
        <f>60871.34+18516.54</f>
        <v>79387.88</v>
      </c>
      <c r="BE70" s="54"/>
      <c r="BF70" s="54"/>
      <c r="BG70" s="54">
        <v>109000</v>
      </c>
      <c r="BH70" s="54"/>
      <c r="BI70" s="54">
        <v>50778.07</v>
      </c>
      <c r="BJ70" s="54"/>
      <c r="BK70" s="54">
        <v>95000</v>
      </c>
      <c r="BL70" s="54"/>
      <c r="BM70" s="58">
        <f t="shared" si="37"/>
        <v>-14000</v>
      </c>
      <c r="BN70" s="58"/>
      <c r="BO70" s="66">
        <v>36864.870000000003</v>
      </c>
      <c r="BP70" s="66"/>
      <c r="BQ70" s="66">
        <f t="shared" si="8"/>
        <v>73729.740000000005</v>
      </c>
      <c r="BR70" s="66"/>
      <c r="BS70" s="66">
        <f t="shared" si="49"/>
        <v>-21270.259999999995</v>
      </c>
      <c r="BT70" s="58"/>
      <c r="BU70" s="54">
        <v>80000</v>
      </c>
      <c r="BV70" s="58"/>
      <c r="BW70" s="58">
        <f t="shared" si="16"/>
        <v>-15000</v>
      </c>
      <c r="BX70" s="58"/>
      <c r="BY70" s="91" t="s">
        <v>265</v>
      </c>
      <c r="BZ70" s="66">
        <f t="shared" si="30"/>
        <v>0</v>
      </c>
      <c r="CA70" s="66"/>
      <c r="CB70" s="54">
        <v>80000</v>
      </c>
      <c r="CC70" s="54"/>
      <c r="CD70" s="54">
        <v>80000</v>
      </c>
      <c r="CE70" s="54"/>
      <c r="CF70" s="54">
        <v>80000</v>
      </c>
      <c r="CG70" s="60"/>
      <c r="CH70" s="61">
        <f t="shared" si="4"/>
        <v>0</v>
      </c>
      <c r="CI70" s="200"/>
      <c r="CJ70" s="294"/>
      <c r="CK70" s="346">
        <f t="shared" si="5"/>
        <v>6666.666666666667</v>
      </c>
    </row>
    <row r="71" spans="1:89" ht="18.75" hidden="1" customHeight="1" x14ac:dyDescent="0.2">
      <c r="A71" s="4"/>
      <c r="B71" s="27"/>
      <c r="C71" s="28"/>
      <c r="D71" s="28"/>
      <c r="E71" s="29" t="s">
        <v>50</v>
      </c>
      <c r="F71" s="28"/>
      <c r="G71" s="30">
        <v>0</v>
      </c>
      <c r="H71" s="31"/>
      <c r="I71" s="30"/>
      <c r="J71" s="31"/>
      <c r="K71" s="30"/>
      <c r="L71" s="31"/>
      <c r="M71" s="32"/>
      <c r="N71" s="31"/>
      <c r="O71" s="30">
        <v>0</v>
      </c>
      <c r="P71" s="31"/>
      <c r="Q71" s="30"/>
      <c r="R71" s="31"/>
      <c r="S71" s="30"/>
      <c r="T71" s="31"/>
      <c r="U71" s="32"/>
      <c r="V71" s="31"/>
      <c r="W71" s="33">
        <v>742.18</v>
      </c>
      <c r="X71" s="33"/>
      <c r="Y71" s="33"/>
      <c r="Z71" s="33"/>
      <c r="AA71" s="33"/>
      <c r="AB71" s="33"/>
      <c r="AC71" s="33"/>
      <c r="AD71" s="34"/>
      <c r="AE71" s="34"/>
      <c r="AF71" s="49"/>
      <c r="AG71" s="50"/>
      <c r="AH71" s="51"/>
      <c r="AI71" s="51"/>
      <c r="AJ71" s="51"/>
      <c r="AK71" s="51"/>
      <c r="AL71" s="51"/>
      <c r="AM71" s="51"/>
      <c r="AN71" s="51">
        <f t="shared" ref="AN71:AN77" si="50">AP71*4</f>
        <v>2968.72</v>
      </c>
      <c r="AO71" s="51"/>
      <c r="AP71" s="51">
        <f t="shared" si="39"/>
        <v>742.18</v>
      </c>
      <c r="AQ71" s="51"/>
      <c r="AR71" s="51"/>
      <c r="AS71" s="51">
        <f t="shared" si="27"/>
        <v>1484.36</v>
      </c>
      <c r="AT71" s="51"/>
      <c r="AU71" s="65"/>
      <c r="AV71" s="54"/>
      <c r="AW71" s="55"/>
      <c r="AX71" s="56">
        <f t="shared" si="29"/>
        <v>2968.72</v>
      </c>
      <c r="AY71" s="56"/>
      <c r="AZ71" s="54"/>
      <c r="BA71" s="54"/>
      <c r="BB71" s="114"/>
      <c r="BC71" s="60"/>
      <c r="BD71" s="54">
        <f t="shared" si="7"/>
        <v>0</v>
      </c>
      <c r="BE71" s="54"/>
      <c r="BF71" s="54"/>
      <c r="BG71" s="54"/>
      <c r="BH71" s="54"/>
      <c r="BI71" s="54"/>
      <c r="BJ71" s="54"/>
      <c r="BK71" s="54"/>
      <c r="BL71" s="54"/>
      <c r="BM71" s="58">
        <f t="shared" si="37"/>
        <v>0</v>
      </c>
      <c r="BN71" s="58"/>
      <c r="BO71" s="66">
        <v>203819.53</v>
      </c>
      <c r="BP71" s="66"/>
      <c r="BQ71" s="66">
        <f t="shared" si="8"/>
        <v>407639.06</v>
      </c>
      <c r="BR71" s="66"/>
      <c r="BS71" s="66">
        <f t="shared" si="49"/>
        <v>407639.06</v>
      </c>
      <c r="BT71" s="58"/>
      <c r="BU71" s="54">
        <f t="shared" ref="BU71:BU77" si="51">BM71-BI71</f>
        <v>0</v>
      </c>
      <c r="BV71" s="58"/>
      <c r="BW71" s="58">
        <f t="shared" si="16"/>
        <v>0</v>
      </c>
      <c r="BX71" s="58"/>
      <c r="BY71" s="91"/>
      <c r="BZ71" s="66">
        <f t="shared" si="30"/>
        <v>0</v>
      </c>
      <c r="CA71" s="66"/>
      <c r="CB71" s="54">
        <f t="shared" ref="CB71:CB77" si="52">BS71-BO71</f>
        <v>203819.53</v>
      </c>
      <c r="CC71" s="54"/>
      <c r="CD71" s="54">
        <f t="shared" ref="CD71:CD77" si="53">BT71-BP71</f>
        <v>0</v>
      </c>
      <c r="CE71" s="54"/>
      <c r="CF71" s="54">
        <f t="shared" ref="CF71:CF77" si="54">BU71-BQ71</f>
        <v>-407639.06</v>
      </c>
      <c r="CG71" s="60"/>
      <c r="CH71" s="61">
        <f t="shared" si="4"/>
        <v>-611458.59</v>
      </c>
      <c r="CI71" s="200"/>
      <c r="CJ71" s="294"/>
      <c r="CK71" s="346">
        <f t="shared" si="5"/>
        <v>-33969.921666666669</v>
      </c>
    </row>
    <row r="72" spans="1:89" ht="18.75" hidden="1" customHeight="1" x14ac:dyDescent="0.2">
      <c r="A72" s="4"/>
      <c r="B72" s="27"/>
      <c r="C72" s="28"/>
      <c r="D72" s="28"/>
      <c r="E72" s="29" t="s">
        <v>51</v>
      </c>
      <c r="F72" s="28"/>
      <c r="G72" s="30">
        <v>249.08</v>
      </c>
      <c r="H72" s="31"/>
      <c r="I72" s="30"/>
      <c r="J72" s="31"/>
      <c r="K72" s="30"/>
      <c r="L72" s="31"/>
      <c r="M72" s="32"/>
      <c r="N72" s="31"/>
      <c r="O72" s="30">
        <v>0</v>
      </c>
      <c r="P72" s="31"/>
      <c r="Q72" s="30"/>
      <c r="R72" s="31"/>
      <c r="S72" s="30"/>
      <c r="T72" s="31"/>
      <c r="U72" s="32"/>
      <c r="V72" s="31"/>
      <c r="W72" s="33">
        <v>0</v>
      </c>
      <c r="X72" s="33"/>
      <c r="Y72" s="33"/>
      <c r="Z72" s="33"/>
      <c r="AA72" s="33"/>
      <c r="AB72" s="33"/>
      <c r="AC72" s="33"/>
      <c r="AD72" s="34"/>
      <c r="AE72" s="34"/>
      <c r="AF72" s="49"/>
      <c r="AG72" s="50"/>
      <c r="AH72" s="51"/>
      <c r="AI72" s="51"/>
      <c r="AJ72" s="51"/>
      <c r="AK72" s="51"/>
      <c r="AL72" s="51"/>
      <c r="AM72" s="51"/>
      <c r="AN72" s="51">
        <f t="shared" si="50"/>
        <v>996.32</v>
      </c>
      <c r="AO72" s="51"/>
      <c r="AP72" s="51">
        <f t="shared" si="39"/>
        <v>249.08</v>
      </c>
      <c r="AQ72" s="51"/>
      <c r="AR72" s="51"/>
      <c r="AS72" s="51">
        <f t="shared" si="27"/>
        <v>498.16</v>
      </c>
      <c r="AT72" s="51"/>
      <c r="AU72" s="65"/>
      <c r="AV72" s="54"/>
      <c r="AW72" s="55"/>
      <c r="AX72" s="56">
        <f t="shared" si="29"/>
        <v>996.32</v>
      </c>
      <c r="AY72" s="56"/>
      <c r="AZ72" s="54"/>
      <c r="BA72" s="54"/>
      <c r="BB72" s="114"/>
      <c r="BC72" s="60"/>
      <c r="BD72" s="54">
        <f t="shared" si="7"/>
        <v>0</v>
      </c>
      <c r="BE72" s="54"/>
      <c r="BF72" s="54"/>
      <c r="BG72" s="54"/>
      <c r="BH72" s="54"/>
      <c r="BI72" s="54"/>
      <c r="BJ72" s="54"/>
      <c r="BK72" s="54"/>
      <c r="BL72" s="54"/>
      <c r="BM72" s="58">
        <f t="shared" si="37"/>
        <v>0</v>
      </c>
      <c r="BN72" s="58"/>
      <c r="BO72" s="54"/>
      <c r="BP72" s="54"/>
      <c r="BQ72" s="66">
        <f t="shared" si="8"/>
        <v>0</v>
      </c>
      <c r="BR72" s="66"/>
      <c r="BS72" s="66">
        <f t="shared" si="49"/>
        <v>0</v>
      </c>
      <c r="BT72" s="58"/>
      <c r="BU72" s="54">
        <f t="shared" si="51"/>
        <v>0</v>
      </c>
      <c r="BV72" s="58"/>
      <c r="BW72" s="58">
        <f t="shared" si="16"/>
        <v>0</v>
      </c>
      <c r="BX72" s="58"/>
      <c r="BY72" s="91"/>
      <c r="BZ72" s="66">
        <f t="shared" si="30"/>
        <v>0</v>
      </c>
      <c r="CA72" s="66"/>
      <c r="CB72" s="54">
        <f t="shared" si="52"/>
        <v>0</v>
      </c>
      <c r="CC72" s="54"/>
      <c r="CD72" s="54">
        <f t="shared" si="53"/>
        <v>0</v>
      </c>
      <c r="CE72" s="54"/>
      <c r="CF72" s="54">
        <f t="shared" si="54"/>
        <v>0</v>
      </c>
      <c r="CG72" s="60"/>
      <c r="CH72" s="61">
        <f t="shared" ref="CH72:CH93" si="55">CF72-CB72</f>
        <v>0</v>
      </c>
      <c r="CI72" s="200"/>
      <c r="CJ72" s="294"/>
      <c r="CK72" s="346">
        <f t="shared" ref="CK72:CK137" si="56">CF72/12</f>
        <v>0</v>
      </c>
    </row>
    <row r="73" spans="1:89" ht="18.75" hidden="1" customHeight="1" x14ac:dyDescent="0.2">
      <c r="A73" s="4"/>
      <c r="B73" s="27"/>
      <c r="C73" s="28"/>
      <c r="D73" s="28"/>
      <c r="E73" s="29" t="s">
        <v>52</v>
      </c>
      <c r="F73" s="28"/>
      <c r="G73" s="30">
        <v>79.53</v>
      </c>
      <c r="H73" s="31"/>
      <c r="I73" s="30"/>
      <c r="J73" s="31"/>
      <c r="K73" s="30"/>
      <c r="L73" s="31"/>
      <c r="M73" s="32"/>
      <c r="N73" s="31"/>
      <c r="O73" s="30">
        <v>0</v>
      </c>
      <c r="P73" s="31"/>
      <c r="Q73" s="30"/>
      <c r="R73" s="31"/>
      <c r="S73" s="30"/>
      <c r="T73" s="31"/>
      <c r="U73" s="32"/>
      <c r="V73" s="31"/>
      <c r="W73" s="33">
        <v>0</v>
      </c>
      <c r="X73" s="33"/>
      <c r="Y73" s="33"/>
      <c r="Z73" s="33"/>
      <c r="AA73" s="33"/>
      <c r="AB73" s="33"/>
      <c r="AC73" s="33"/>
      <c r="AD73" s="34"/>
      <c r="AE73" s="34"/>
      <c r="AF73" s="49"/>
      <c r="AG73" s="50"/>
      <c r="AH73" s="51"/>
      <c r="AI73" s="51"/>
      <c r="AJ73" s="51"/>
      <c r="AK73" s="51"/>
      <c r="AL73" s="51"/>
      <c r="AM73" s="51"/>
      <c r="AN73" s="51">
        <f t="shared" si="50"/>
        <v>318.12</v>
      </c>
      <c r="AO73" s="51"/>
      <c r="AP73" s="51">
        <f t="shared" si="39"/>
        <v>79.53</v>
      </c>
      <c r="AQ73" s="51"/>
      <c r="AR73" s="51"/>
      <c r="AS73" s="51">
        <f t="shared" si="27"/>
        <v>159.06</v>
      </c>
      <c r="AT73" s="51"/>
      <c r="AU73" s="65"/>
      <c r="AV73" s="54"/>
      <c r="AW73" s="55"/>
      <c r="AX73" s="56">
        <f t="shared" si="29"/>
        <v>318.12</v>
      </c>
      <c r="AY73" s="56"/>
      <c r="AZ73" s="54"/>
      <c r="BA73" s="54"/>
      <c r="BB73" s="114"/>
      <c r="BC73" s="60"/>
      <c r="BD73" s="54">
        <f t="shared" si="7"/>
        <v>0</v>
      </c>
      <c r="BE73" s="54"/>
      <c r="BF73" s="54"/>
      <c r="BG73" s="54"/>
      <c r="BH73" s="54"/>
      <c r="BI73" s="54"/>
      <c r="BJ73" s="54"/>
      <c r="BK73" s="54"/>
      <c r="BL73" s="54"/>
      <c r="BM73" s="58">
        <f t="shared" si="37"/>
        <v>0</v>
      </c>
      <c r="BN73" s="58"/>
      <c r="BO73" s="54"/>
      <c r="BP73" s="54"/>
      <c r="BQ73" s="66">
        <f t="shared" si="8"/>
        <v>0</v>
      </c>
      <c r="BR73" s="66"/>
      <c r="BS73" s="66">
        <f t="shared" si="49"/>
        <v>0</v>
      </c>
      <c r="BT73" s="58"/>
      <c r="BU73" s="54">
        <f t="shared" si="51"/>
        <v>0</v>
      </c>
      <c r="BV73" s="58"/>
      <c r="BW73" s="58">
        <f t="shared" si="16"/>
        <v>0</v>
      </c>
      <c r="BX73" s="58"/>
      <c r="BY73" s="91"/>
      <c r="BZ73" s="66">
        <f t="shared" si="30"/>
        <v>0</v>
      </c>
      <c r="CA73" s="66"/>
      <c r="CB73" s="54">
        <f t="shared" si="52"/>
        <v>0</v>
      </c>
      <c r="CC73" s="54"/>
      <c r="CD73" s="54">
        <f t="shared" si="53"/>
        <v>0</v>
      </c>
      <c r="CE73" s="54"/>
      <c r="CF73" s="54">
        <f t="shared" si="54"/>
        <v>0</v>
      </c>
      <c r="CG73" s="60"/>
      <c r="CH73" s="61">
        <f t="shared" si="55"/>
        <v>0</v>
      </c>
      <c r="CI73" s="200"/>
      <c r="CJ73" s="294"/>
      <c r="CK73" s="346">
        <f t="shared" si="56"/>
        <v>0</v>
      </c>
    </row>
    <row r="74" spans="1:89" ht="18.75" hidden="1" customHeight="1" x14ac:dyDescent="0.2">
      <c r="A74" s="4"/>
      <c r="B74" s="27"/>
      <c r="C74" s="28"/>
      <c r="D74" s="28"/>
      <c r="E74" s="29" t="s">
        <v>53</v>
      </c>
      <c r="F74" s="28"/>
      <c r="G74" s="30">
        <v>89</v>
      </c>
      <c r="H74" s="31"/>
      <c r="I74" s="30"/>
      <c r="J74" s="31"/>
      <c r="K74" s="30"/>
      <c r="L74" s="31"/>
      <c r="M74" s="32"/>
      <c r="N74" s="31"/>
      <c r="O74" s="30">
        <v>0</v>
      </c>
      <c r="P74" s="31"/>
      <c r="Q74" s="30"/>
      <c r="R74" s="31"/>
      <c r="S74" s="30"/>
      <c r="T74" s="31"/>
      <c r="U74" s="32"/>
      <c r="V74" s="31"/>
      <c r="W74" s="33">
        <v>0</v>
      </c>
      <c r="X74" s="33"/>
      <c r="Y74" s="33"/>
      <c r="Z74" s="33"/>
      <c r="AA74" s="33"/>
      <c r="AB74" s="33"/>
      <c r="AC74" s="33"/>
      <c r="AD74" s="34"/>
      <c r="AE74" s="34"/>
      <c r="AF74" s="49"/>
      <c r="AG74" s="50"/>
      <c r="AH74" s="51"/>
      <c r="AI74" s="51"/>
      <c r="AJ74" s="51"/>
      <c r="AK74" s="51"/>
      <c r="AL74" s="51"/>
      <c r="AM74" s="51"/>
      <c r="AN74" s="51">
        <f t="shared" si="50"/>
        <v>356</v>
      </c>
      <c r="AO74" s="51"/>
      <c r="AP74" s="51">
        <f t="shared" si="39"/>
        <v>89</v>
      </c>
      <c r="AQ74" s="51"/>
      <c r="AR74" s="51"/>
      <c r="AS74" s="51">
        <f t="shared" si="27"/>
        <v>178</v>
      </c>
      <c r="AT74" s="51"/>
      <c r="AU74" s="65"/>
      <c r="AV74" s="54"/>
      <c r="AW74" s="55"/>
      <c r="AX74" s="56">
        <f t="shared" si="29"/>
        <v>356</v>
      </c>
      <c r="AY74" s="56"/>
      <c r="AZ74" s="54"/>
      <c r="BA74" s="54"/>
      <c r="BB74" s="114"/>
      <c r="BC74" s="60"/>
      <c r="BD74" s="54">
        <f t="shared" si="7"/>
        <v>0</v>
      </c>
      <c r="BE74" s="54"/>
      <c r="BF74" s="54"/>
      <c r="BG74" s="54"/>
      <c r="BH74" s="54"/>
      <c r="BI74" s="54"/>
      <c r="BJ74" s="54"/>
      <c r="BK74" s="54"/>
      <c r="BL74" s="54"/>
      <c r="BM74" s="58">
        <f t="shared" si="37"/>
        <v>0</v>
      </c>
      <c r="BN74" s="58"/>
      <c r="BO74" s="54"/>
      <c r="BP74" s="54"/>
      <c r="BQ74" s="66">
        <f t="shared" ref="BQ74:BQ113" si="57">BO74*2</f>
        <v>0</v>
      </c>
      <c r="BR74" s="66"/>
      <c r="BS74" s="66">
        <f t="shared" si="49"/>
        <v>0</v>
      </c>
      <c r="BT74" s="58"/>
      <c r="BU74" s="54">
        <f t="shared" si="51"/>
        <v>0</v>
      </c>
      <c r="BV74" s="58"/>
      <c r="BW74" s="58">
        <f t="shared" si="16"/>
        <v>0</v>
      </c>
      <c r="BX74" s="58"/>
      <c r="BY74" s="91"/>
      <c r="BZ74" s="66">
        <f t="shared" si="30"/>
        <v>0</v>
      </c>
      <c r="CA74" s="66"/>
      <c r="CB74" s="54">
        <f t="shared" si="52"/>
        <v>0</v>
      </c>
      <c r="CC74" s="54"/>
      <c r="CD74" s="54">
        <f t="shared" si="53"/>
        <v>0</v>
      </c>
      <c r="CE74" s="54"/>
      <c r="CF74" s="54">
        <f t="shared" si="54"/>
        <v>0</v>
      </c>
      <c r="CG74" s="60"/>
      <c r="CH74" s="61">
        <f t="shared" si="55"/>
        <v>0</v>
      </c>
      <c r="CI74" s="200"/>
      <c r="CJ74" s="294"/>
      <c r="CK74" s="346">
        <f t="shared" si="56"/>
        <v>0</v>
      </c>
    </row>
    <row r="75" spans="1:89" ht="18.75" hidden="1" customHeight="1" x14ac:dyDescent="0.2">
      <c r="A75" s="4"/>
      <c r="B75" s="27"/>
      <c r="C75" s="28"/>
      <c r="D75" s="28"/>
      <c r="E75" s="29" t="s">
        <v>54</v>
      </c>
      <c r="F75" s="28"/>
      <c r="G75" s="30">
        <v>87.19</v>
      </c>
      <c r="H75" s="31"/>
      <c r="I75" s="30"/>
      <c r="J75" s="31"/>
      <c r="K75" s="30"/>
      <c r="L75" s="31"/>
      <c r="M75" s="32"/>
      <c r="N75" s="31"/>
      <c r="O75" s="30">
        <v>0</v>
      </c>
      <c r="P75" s="31"/>
      <c r="Q75" s="30"/>
      <c r="R75" s="31"/>
      <c r="S75" s="30"/>
      <c r="T75" s="31"/>
      <c r="U75" s="32"/>
      <c r="V75" s="31"/>
      <c r="W75" s="33">
        <v>0</v>
      </c>
      <c r="X75" s="33"/>
      <c r="Y75" s="33"/>
      <c r="Z75" s="33"/>
      <c r="AA75" s="33"/>
      <c r="AB75" s="33"/>
      <c r="AC75" s="33"/>
      <c r="AD75" s="34"/>
      <c r="AE75" s="34"/>
      <c r="AF75" s="49"/>
      <c r="AG75" s="50"/>
      <c r="AH75" s="51"/>
      <c r="AI75" s="51"/>
      <c r="AJ75" s="51"/>
      <c r="AK75" s="51"/>
      <c r="AL75" s="51"/>
      <c r="AM75" s="51"/>
      <c r="AN75" s="51">
        <f t="shared" si="50"/>
        <v>348.76</v>
      </c>
      <c r="AO75" s="51"/>
      <c r="AP75" s="51">
        <f t="shared" si="39"/>
        <v>87.19</v>
      </c>
      <c r="AQ75" s="51"/>
      <c r="AR75" s="51"/>
      <c r="AS75" s="51">
        <f t="shared" si="27"/>
        <v>174.38</v>
      </c>
      <c r="AT75" s="51"/>
      <c r="AU75" s="65"/>
      <c r="AV75" s="54"/>
      <c r="AW75" s="55"/>
      <c r="AX75" s="56">
        <f t="shared" si="29"/>
        <v>348.76</v>
      </c>
      <c r="AY75" s="56"/>
      <c r="AZ75" s="54"/>
      <c r="BA75" s="54"/>
      <c r="BB75" s="114"/>
      <c r="BC75" s="60"/>
      <c r="BD75" s="54">
        <f t="shared" si="7"/>
        <v>0</v>
      </c>
      <c r="BE75" s="54"/>
      <c r="BF75" s="54"/>
      <c r="BG75" s="54"/>
      <c r="BH75" s="54"/>
      <c r="BI75" s="54"/>
      <c r="BJ75" s="54"/>
      <c r="BK75" s="54"/>
      <c r="BL75" s="54"/>
      <c r="BM75" s="58">
        <f t="shared" si="37"/>
        <v>0</v>
      </c>
      <c r="BN75" s="58"/>
      <c r="BO75" s="54"/>
      <c r="BP75" s="54"/>
      <c r="BQ75" s="66">
        <f t="shared" si="57"/>
        <v>0</v>
      </c>
      <c r="BR75" s="66"/>
      <c r="BS75" s="66">
        <f t="shared" si="49"/>
        <v>0</v>
      </c>
      <c r="BT75" s="58"/>
      <c r="BU75" s="54">
        <f t="shared" si="51"/>
        <v>0</v>
      </c>
      <c r="BV75" s="58"/>
      <c r="BW75" s="58">
        <f t="shared" si="16"/>
        <v>0</v>
      </c>
      <c r="BX75" s="58"/>
      <c r="BY75" s="91"/>
      <c r="BZ75" s="66">
        <f t="shared" si="30"/>
        <v>0</v>
      </c>
      <c r="CA75" s="66"/>
      <c r="CB75" s="54">
        <f t="shared" si="52"/>
        <v>0</v>
      </c>
      <c r="CC75" s="54"/>
      <c r="CD75" s="54">
        <f t="shared" si="53"/>
        <v>0</v>
      </c>
      <c r="CE75" s="54"/>
      <c r="CF75" s="54">
        <f t="shared" si="54"/>
        <v>0</v>
      </c>
      <c r="CG75" s="60"/>
      <c r="CH75" s="61">
        <f t="shared" si="55"/>
        <v>0</v>
      </c>
      <c r="CI75" s="200"/>
      <c r="CJ75" s="294"/>
      <c r="CK75" s="346">
        <f t="shared" si="56"/>
        <v>0</v>
      </c>
    </row>
    <row r="76" spans="1:89" ht="18.75" hidden="1" customHeight="1" x14ac:dyDescent="0.2">
      <c r="A76" s="4"/>
      <c r="B76" s="27"/>
      <c r="C76" s="28"/>
      <c r="D76" s="28"/>
      <c r="E76" s="29" t="s">
        <v>55</v>
      </c>
      <c r="F76" s="28"/>
      <c r="G76" s="30">
        <v>50.55</v>
      </c>
      <c r="H76" s="31"/>
      <c r="I76" s="30"/>
      <c r="J76" s="31"/>
      <c r="K76" s="30"/>
      <c r="L76" s="31"/>
      <c r="M76" s="32"/>
      <c r="N76" s="31"/>
      <c r="O76" s="30">
        <v>0</v>
      </c>
      <c r="P76" s="31"/>
      <c r="Q76" s="30"/>
      <c r="R76" s="31"/>
      <c r="S76" s="30"/>
      <c r="T76" s="31"/>
      <c r="U76" s="32"/>
      <c r="V76" s="31"/>
      <c r="W76" s="33">
        <v>0</v>
      </c>
      <c r="X76" s="33"/>
      <c r="Y76" s="33"/>
      <c r="Z76" s="33"/>
      <c r="AA76" s="33"/>
      <c r="AB76" s="33"/>
      <c r="AC76" s="33"/>
      <c r="AD76" s="34"/>
      <c r="AE76" s="34"/>
      <c r="AF76" s="49"/>
      <c r="AG76" s="50"/>
      <c r="AH76" s="51"/>
      <c r="AI76" s="51"/>
      <c r="AJ76" s="51"/>
      <c r="AK76" s="51"/>
      <c r="AL76" s="51">
        <v>35000</v>
      </c>
      <c r="AM76" s="51"/>
      <c r="AN76" s="51">
        <f t="shared" si="50"/>
        <v>202.2</v>
      </c>
      <c r="AO76" s="51"/>
      <c r="AP76" s="51">
        <f t="shared" si="39"/>
        <v>50.55</v>
      </c>
      <c r="AQ76" s="51"/>
      <c r="AR76" s="51"/>
      <c r="AS76" s="51">
        <f t="shared" si="27"/>
        <v>101.1</v>
      </c>
      <c r="AT76" s="51"/>
      <c r="AU76" s="65"/>
      <c r="AV76" s="54"/>
      <c r="AW76" s="55"/>
      <c r="AX76" s="56">
        <f t="shared" si="29"/>
        <v>-34797.800000000003</v>
      </c>
      <c r="AY76" s="56"/>
      <c r="AZ76" s="54"/>
      <c r="BA76" s="54"/>
      <c r="BB76" s="114"/>
      <c r="BC76" s="60"/>
      <c r="BD76" s="54">
        <f t="shared" si="7"/>
        <v>0</v>
      </c>
      <c r="BE76" s="54"/>
      <c r="BF76" s="54"/>
      <c r="BG76" s="54"/>
      <c r="BH76" s="54"/>
      <c r="BI76" s="54"/>
      <c r="BJ76" s="54"/>
      <c r="BK76" s="54"/>
      <c r="BL76" s="54"/>
      <c r="BM76" s="58">
        <f t="shared" si="37"/>
        <v>0</v>
      </c>
      <c r="BN76" s="58"/>
      <c r="BO76" s="54"/>
      <c r="BP76" s="54"/>
      <c r="BQ76" s="66">
        <f t="shared" si="57"/>
        <v>0</v>
      </c>
      <c r="BR76" s="66"/>
      <c r="BS76" s="66">
        <f t="shared" si="49"/>
        <v>0</v>
      </c>
      <c r="BT76" s="58"/>
      <c r="BU76" s="54">
        <f t="shared" si="51"/>
        <v>0</v>
      </c>
      <c r="BV76" s="58"/>
      <c r="BW76" s="58">
        <f t="shared" si="16"/>
        <v>0</v>
      </c>
      <c r="BX76" s="58"/>
      <c r="BY76" s="91"/>
      <c r="BZ76" s="66">
        <f t="shared" si="30"/>
        <v>0</v>
      </c>
      <c r="CA76" s="66"/>
      <c r="CB76" s="54">
        <f t="shared" si="52"/>
        <v>0</v>
      </c>
      <c r="CC76" s="54"/>
      <c r="CD76" s="54">
        <f t="shared" si="53"/>
        <v>0</v>
      </c>
      <c r="CE76" s="54"/>
      <c r="CF76" s="54">
        <f t="shared" si="54"/>
        <v>0</v>
      </c>
      <c r="CG76" s="60"/>
      <c r="CH76" s="61">
        <f t="shared" si="55"/>
        <v>0</v>
      </c>
      <c r="CI76" s="200"/>
      <c r="CJ76" s="294"/>
      <c r="CK76" s="346">
        <f t="shared" si="56"/>
        <v>0</v>
      </c>
    </row>
    <row r="77" spans="1:89" ht="18.75" hidden="1" customHeight="1" thickBot="1" x14ac:dyDescent="0.25">
      <c r="A77" s="4"/>
      <c r="B77" s="27"/>
      <c r="C77" s="28"/>
      <c r="D77" s="28"/>
      <c r="E77" s="29" t="s">
        <v>56</v>
      </c>
      <c r="F77" s="28"/>
      <c r="G77" s="30">
        <v>751.81</v>
      </c>
      <c r="H77" s="31"/>
      <c r="I77" s="30">
        <v>2916.63</v>
      </c>
      <c r="J77" s="31"/>
      <c r="K77" s="30">
        <f t="shared" ref="K77:K82" si="58">ROUND((G77-I77),5)</f>
        <v>-2164.8200000000002</v>
      </c>
      <c r="L77" s="31"/>
      <c r="M77" s="32">
        <f t="shared" ref="M77:M82" si="59">ROUND(IF(I77=0, IF(G77=0, 0, 1), G77/I77),5)</f>
        <v>0.25777</v>
      </c>
      <c r="N77" s="31"/>
      <c r="O77" s="30">
        <v>1923.04</v>
      </c>
      <c r="P77" s="31"/>
      <c r="Q77" s="30">
        <v>2916.67</v>
      </c>
      <c r="R77" s="31"/>
      <c r="S77" s="30">
        <f t="shared" ref="S77:S82" si="60">ROUND((O77-Q77),5)</f>
        <v>-993.63</v>
      </c>
      <c r="T77" s="31"/>
      <c r="U77" s="32">
        <f t="shared" ref="U77:U82" si="61">ROUND(IF(Q77=0, IF(O77=0, 0, 1), O77/Q77),5)</f>
        <v>0.65932999999999997</v>
      </c>
      <c r="V77" s="31"/>
      <c r="W77" s="33">
        <v>7456.25</v>
      </c>
      <c r="X77" s="33"/>
      <c r="Y77" s="33">
        <v>2916.67</v>
      </c>
      <c r="Z77" s="33"/>
      <c r="AA77" s="33">
        <f t="shared" ref="AA77:AA82" si="62">ROUND((W77-Y77),5)</f>
        <v>4539.58</v>
      </c>
      <c r="AB77" s="33"/>
      <c r="AC77" s="33"/>
      <c r="AD77" s="34"/>
      <c r="AE77" s="34"/>
      <c r="AF77" s="49"/>
      <c r="AG77" s="50"/>
      <c r="AH77" s="51"/>
      <c r="AI77" s="51"/>
      <c r="AJ77" s="51"/>
      <c r="AK77" s="51"/>
      <c r="AL77" s="51">
        <v>35000</v>
      </c>
      <c r="AM77" s="51"/>
      <c r="AN77" s="51">
        <f t="shared" si="50"/>
        <v>40524.400000000001</v>
      </c>
      <c r="AO77" s="51"/>
      <c r="AP77" s="51">
        <f t="shared" si="39"/>
        <v>10131.1</v>
      </c>
      <c r="AQ77" s="51"/>
      <c r="AR77" s="51">
        <f>ROUND(I77+Q77+Y77,5)</f>
        <v>8749.9699999999993</v>
      </c>
      <c r="AS77" s="51">
        <f t="shared" si="27"/>
        <v>20262.2</v>
      </c>
      <c r="AT77" s="51"/>
      <c r="AU77" s="65"/>
      <c r="AV77" s="54"/>
      <c r="AW77" s="55"/>
      <c r="AX77" s="56">
        <f t="shared" si="29"/>
        <v>5524.4000000000015</v>
      </c>
      <c r="AY77" s="56"/>
      <c r="AZ77" s="54"/>
      <c r="BA77" s="54"/>
      <c r="BB77" s="114"/>
      <c r="BC77" s="60"/>
      <c r="BD77" s="54">
        <f t="shared" si="7"/>
        <v>0</v>
      </c>
      <c r="BE77" s="54"/>
      <c r="BF77" s="54"/>
      <c r="BG77" s="54"/>
      <c r="BH77" s="54"/>
      <c r="BI77" s="54"/>
      <c r="BJ77" s="54"/>
      <c r="BK77" s="54"/>
      <c r="BL77" s="54"/>
      <c r="BM77" s="58">
        <f t="shared" si="37"/>
        <v>0</v>
      </c>
      <c r="BN77" s="58"/>
      <c r="BO77" s="54"/>
      <c r="BP77" s="54"/>
      <c r="BQ77" s="66">
        <f t="shared" si="57"/>
        <v>0</v>
      </c>
      <c r="BR77" s="66"/>
      <c r="BS77" s="66">
        <f t="shared" si="49"/>
        <v>0</v>
      </c>
      <c r="BT77" s="58"/>
      <c r="BU77" s="54">
        <f t="shared" si="51"/>
        <v>0</v>
      </c>
      <c r="BV77" s="58"/>
      <c r="BW77" s="58">
        <f t="shared" si="16"/>
        <v>0</v>
      </c>
      <c r="BX77" s="58"/>
      <c r="BY77" s="91"/>
      <c r="BZ77" s="66">
        <f t="shared" si="30"/>
        <v>0</v>
      </c>
      <c r="CA77" s="66"/>
      <c r="CB77" s="54">
        <f t="shared" si="52"/>
        <v>0</v>
      </c>
      <c r="CC77" s="54"/>
      <c r="CD77" s="54">
        <f t="shared" si="53"/>
        <v>0</v>
      </c>
      <c r="CE77" s="54"/>
      <c r="CF77" s="54">
        <f t="shared" si="54"/>
        <v>0</v>
      </c>
      <c r="CG77" s="60"/>
      <c r="CH77" s="61">
        <f t="shared" si="55"/>
        <v>0</v>
      </c>
      <c r="CI77" s="200"/>
      <c r="CJ77" s="294"/>
      <c r="CK77" s="346">
        <f t="shared" si="56"/>
        <v>0</v>
      </c>
    </row>
    <row r="78" spans="1:89" ht="16.5" customHeight="1" thickBot="1" x14ac:dyDescent="0.25">
      <c r="A78" s="4"/>
      <c r="B78" s="27"/>
      <c r="C78" s="28"/>
      <c r="D78" s="28" t="s">
        <v>49</v>
      </c>
      <c r="E78" s="29"/>
      <c r="F78" s="28"/>
      <c r="G78" s="144">
        <f>ROUND(SUM(G71:G77),5)</f>
        <v>1307.1600000000001</v>
      </c>
      <c r="H78" s="31"/>
      <c r="I78" s="144">
        <f>ROUND(SUM(I71:I77),5)</f>
        <v>2916.63</v>
      </c>
      <c r="J78" s="31"/>
      <c r="K78" s="144">
        <f t="shared" si="58"/>
        <v>-1609.47</v>
      </c>
      <c r="L78" s="31"/>
      <c r="M78" s="145">
        <f t="shared" si="59"/>
        <v>0.44817000000000001</v>
      </c>
      <c r="N78" s="31"/>
      <c r="O78" s="144">
        <f>ROUND(SUM(O71:O77),5)</f>
        <v>1923.04</v>
      </c>
      <c r="P78" s="31"/>
      <c r="Q78" s="144">
        <f>ROUND(SUM(Q71:Q77),5)</f>
        <v>2916.67</v>
      </c>
      <c r="R78" s="31"/>
      <c r="S78" s="144">
        <f t="shared" si="60"/>
        <v>-993.63</v>
      </c>
      <c r="T78" s="31"/>
      <c r="U78" s="145">
        <f t="shared" si="61"/>
        <v>0.65932999999999997</v>
      </c>
      <c r="V78" s="31"/>
      <c r="W78" s="70">
        <f>ROUND(SUM(W71:W77),5)</f>
        <v>8198.43</v>
      </c>
      <c r="X78" s="70"/>
      <c r="Y78" s="70">
        <f>ROUND(SUM(Y71:Y77),5)</f>
        <v>2916.67</v>
      </c>
      <c r="Z78" s="70"/>
      <c r="AA78" s="70">
        <f t="shared" si="62"/>
        <v>5281.76</v>
      </c>
      <c r="AB78" s="70"/>
      <c r="AC78" s="33"/>
      <c r="AD78" s="34"/>
      <c r="AE78" s="34"/>
      <c r="AF78" s="146"/>
      <c r="AG78" s="147"/>
      <c r="AH78" s="148"/>
      <c r="AI78" s="148"/>
      <c r="AJ78" s="148">
        <v>44588.909999999989</v>
      </c>
      <c r="AK78" s="148"/>
      <c r="AL78" s="148">
        <v>35000</v>
      </c>
      <c r="AM78" s="148"/>
      <c r="AN78" s="148">
        <v>37591.54</v>
      </c>
      <c r="AO78" s="148"/>
      <c r="AP78" s="148">
        <v>19846.18</v>
      </c>
      <c r="AQ78" s="148"/>
      <c r="AR78" s="148">
        <f>ROUND(I78+Q78+Y78,5)</f>
        <v>8749.9699999999993</v>
      </c>
      <c r="AS78" s="148">
        <f t="shared" si="27"/>
        <v>39692.36</v>
      </c>
      <c r="AT78" s="148"/>
      <c r="AU78" s="149"/>
      <c r="AV78" s="93">
        <v>35000</v>
      </c>
      <c r="AW78" s="94"/>
      <c r="AX78" s="95">
        <f t="shared" si="29"/>
        <v>2591.5400000000009</v>
      </c>
      <c r="AY78" s="95"/>
      <c r="AZ78" s="93">
        <v>12855.85</v>
      </c>
      <c r="BA78" s="93"/>
      <c r="BB78" s="117"/>
      <c r="BC78" s="99"/>
      <c r="BD78" s="93">
        <v>35178.33</v>
      </c>
      <c r="BE78" s="93"/>
      <c r="BF78" s="93"/>
      <c r="BG78" s="93">
        <v>35000</v>
      </c>
      <c r="BH78" s="93"/>
      <c r="BI78" s="93">
        <v>47036.21</v>
      </c>
      <c r="BJ78" s="93"/>
      <c r="BK78" s="93">
        <v>35000</v>
      </c>
      <c r="BL78" s="93"/>
      <c r="BM78" s="101">
        <f t="shared" si="37"/>
        <v>0</v>
      </c>
      <c r="BN78" s="101"/>
      <c r="BO78" s="93">
        <v>16496.98</v>
      </c>
      <c r="BP78" s="93"/>
      <c r="BQ78" s="102">
        <f t="shared" si="57"/>
        <v>32993.96</v>
      </c>
      <c r="BR78" s="102"/>
      <c r="BS78" s="102">
        <f t="shared" si="49"/>
        <v>-2006.0400000000009</v>
      </c>
      <c r="BT78" s="101"/>
      <c r="BU78" s="93">
        <v>35000</v>
      </c>
      <c r="BV78" s="58"/>
      <c r="BW78" s="101">
        <f t="shared" si="16"/>
        <v>0</v>
      </c>
      <c r="BX78" s="58"/>
      <c r="BY78" s="90" t="s">
        <v>204</v>
      </c>
      <c r="BZ78" s="102">
        <f t="shared" si="30"/>
        <v>0</v>
      </c>
      <c r="CA78" s="102"/>
      <c r="CB78" s="93">
        <v>35000</v>
      </c>
      <c r="CC78" s="93"/>
      <c r="CD78" s="93">
        <v>35000</v>
      </c>
      <c r="CE78" s="93"/>
      <c r="CF78" s="93">
        <v>35000</v>
      </c>
      <c r="CG78" s="123"/>
      <c r="CH78" s="61">
        <f t="shared" si="55"/>
        <v>0</v>
      </c>
      <c r="CI78" s="200"/>
      <c r="CJ78" s="294"/>
      <c r="CK78" s="346">
        <f t="shared" si="56"/>
        <v>2916.6666666666665</v>
      </c>
    </row>
    <row r="79" spans="1:89" ht="15" customHeight="1" thickBot="1" x14ac:dyDescent="0.25">
      <c r="A79" s="4"/>
      <c r="B79" s="27"/>
      <c r="C79" s="28" t="s">
        <v>19</v>
      </c>
      <c r="D79" s="28"/>
      <c r="E79" s="29"/>
      <c r="F79" s="28"/>
      <c r="G79" s="30">
        <f>ROUND(SUM(G41:G42)+G50+G62+G70+G78,5)</f>
        <v>28721.71</v>
      </c>
      <c r="H79" s="31"/>
      <c r="I79" s="30">
        <f>ROUND(SUM(I41:I42)+I50+I62+I70+I78,5)</f>
        <v>28999.78</v>
      </c>
      <c r="J79" s="31"/>
      <c r="K79" s="30">
        <f t="shared" si="58"/>
        <v>-278.07</v>
      </c>
      <c r="L79" s="31"/>
      <c r="M79" s="32">
        <f t="shared" si="59"/>
        <v>0.99041000000000001</v>
      </c>
      <c r="N79" s="31"/>
      <c r="O79" s="30">
        <f>ROUND(SUM(O41:O42)+O50+O62+O70+O78,5)</f>
        <v>28649.19</v>
      </c>
      <c r="P79" s="31"/>
      <c r="Q79" s="30">
        <f>ROUND(SUM(Q41:Q42)+Q50+Q62+Q70+Q78,5)</f>
        <v>29000.02</v>
      </c>
      <c r="R79" s="31"/>
      <c r="S79" s="30">
        <f t="shared" si="60"/>
        <v>-350.83</v>
      </c>
      <c r="T79" s="31"/>
      <c r="U79" s="32">
        <f t="shared" si="61"/>
        <v>0.9879</v>
      </c>
      <c r="V79" s="31"/>
      <c r="W79" s="76">
        <f>W78+W70+W62+W50+W23+W42</f>
        <v>42482.720000000001</v>
      </c>
      <c r="X79" s="76"/>
      <c r="Y79" s="76">
        <f>Y78+Y70+Y62+Y50+Y23+Y42</f>
        <v>29666.689999999995</v>
      </c>
      <c r="Z79" s="76"/>
      <c r="AA79" s="76">
        <f t="shared" si="62"/>
        <v>12816.03</v>
      </c>
      <c r="AB79" s="76"/>
      <c r="AC79" s="76"/>
      <c r="AD79" s="77">
        <f>285000+74000</f>
        <v>359000</v>
      </c>
      <c r="AE79" s="77"/>
      <c r="AF79" s="150">
        <f>296124.2+68025.2</f>
        <v>364149.4</v>
      </c>
      <c r="AG79" s="151"/>
      <c r="AH79" s="152">
        <v>374000</v>
      </c>
      <c r="AI79" s="152"/>
      <c r="AJ79" s="152">
        <v>253888.69</v>
      </c>
      <c r="AK79" s="152"/>
      <c r="AL79" s="152">
        <f>AL42+AL23+AL50+AL62+AL70+AL78</f>
        <v>356000</v>
      </c>
      <c r="AM79" s="152"/>
      <c r="AN79" s="152">
        <f>AN23+AN50+AN62+AN70+AN78</f>
        <v>309905.49</v>
      </c>
      <c r="AO79" s="152"/>
      <c r="AP79" s="152">
        <f>AP78+AP70+AP62+AP50+AP23+AP42</f>
        <v>170275.48</v>
      </c>
      <c r="AQ79" s="152"/>
      <c r="AR79" s="152">
        <f>AR78+AR70+AR62+AR50+AR23+AR42</f>
        <v>88999.790000000008</v>
      </c>
      <c r="AS79" s="152">
        <f t="shared" si="27"/>
        <v>340550.96</v>
      </c>
      <c r="AT79" s="152"/>
      <c r="AU79" s="153"/>
      <c r="AV79" s="154">
        <f>AV78+AV70+AV62+AV50+AV23+AV42</f>
        <v>348300</v>
      </c>
      <c r="AW79" s="155"/>
      <c r="AX79" s="156">
        <f t="shared" si="29"/>
        <v>-46094.510000000009</v>
      </c>
      <c r="AY79" s="156"/>
      <c r="AZ79" s="156">
        <f>AZ42+AZ23+AZ50+AZ62++AZ70+AZ78</f>
        <v>143539.59</v>
      </c>
      <c r="BA79" s="154"/>
      <c r="BB79" s="114"/>
      <c r="BC79" s="157"/>
      <c r="BD79" s="79">
        <f>BD42+BD23+BD50+BD62+BD70+BD78</f>
        <v>323927.73000000004</v>
      </c>
      <c r="BE79" s="79"/>
      <c r="BF79" s="79"/>
      <c r="BG79" s="79">
        <f>SUM(BG42:BG78)</f>
        <v>336500</v>
      </c>
      <c r="BH79" s="79"/>
      <c r="BI79" s="79">
        <f>SUM(BI42:BI78)</f>
        <v>312667.95</v>
      </c>
      <c r="BJ79" s="79"/>
      <c r="BK79" s="79">
        <v>292515.42</v>
      </c>
      <c r="BL79" s="79"/>
      <c r="BM79" s="84">
        <f>SUM(BM42:BM78)</f>
        <v>-14000</v>
      </c>
      <c r="BN79" s="84"/>
      <c r="BO79" s="81">
        <f>BO42+BO50+BO62+BO70+BO78</f>
        <v>144428.02000000002</v>
      </c>
      <c r="BP79" s="81"/>
      <c r="BQ79" s="85">
        <v>288503.52</v>
      </c>
      <c r="BR79" s="85"/>
      <c r="BS79" s="85">
        <f t="shared" si="49"/>
        <v>-4011.8999999999651</v>
      </c>
      <c r="BT79" s="84"/>
      <c r="BU79" s="79">
        <f>BU42+BU50+BU62+BU70+BU78</f>
        <v>303500</v>
      </c>
      <c r="BV79" s="58"/>
      <c r="BW79" s="84">
        <f t="shared" si="16"/>
        <v>10984.580000000016</v>
      </c>
      <c r="BX79" s="58"/>
      <c r="BY79" s="91"/>
      <c r="BZ79" s="85">
        <v>288192.64000000001</v>
      </c>
      <c r="CA79" s="85"/>
      <c r="CB79" s="79">
        <v>315000</v>
      </c>
      <c r="CC79" s="79"/>
      <c r="CD79" s="79">
        <v>283402.58</v>
      </c>
      <c r="CE79" s="79"/>
      <c r="CF79" s="79">
        <v>300000</v>
      </c>
      <c r="CG79" s="83"/>
      <c r="CH79" s="61">
        <f t="shared" si="55"/>
        <v>-15000</v>
      </c>
      <c r="CI79" s="200"/>
      <c r="CJ79" s="293" t="s">
        <v>266</v>
      </c>
      <c r="CK79" s="346">
        <f t="shared" si="56"/>
        <v>25000</v>
      </c>
    </row>
    <row r="80" spans="1:89" ht="14.25" customHeight="1" x14ac:dyDescent="0.2">
      <c r="A80" s="4"/>
      <c r="B80" s="27"/>
      <c r="C80" s="28" t="s">
        <v>57</v>
      </c>
      <c r="D80" s="28"/>
      <c r="E80" s="29"/>
      <c r="F80" s="28"/>
      <c r="G80" s="30">
        <v>463.22</v>
      </c>
      <c r="H80" s="31"/>
      <c r="I80" s="30">
        <v>300</v>
      </c>
      <c r="J80" s="31"/>
      <c r="K80" s="30">
        <f t="shared" si="58"/>
        <v>163.22</v>
      </c>
      <c r="L80" s="31"/>
      <c r="M80" s="32">
        <f t="shared" si="59"/>
        <v>1.5440700000000001</v>
      </c>
      <c r="N80" s="31"/>
      <c r="O80" s="30">
        <v>462.77</v>
      </c>
      <c r="P80" s="31"/>
      <c r="Q80" s="30">
        <v>300</v>
      </c>
      <c r="R80" s="31"/>
      <c r="S80" s="30">
        <f t="shared" si="60"/>
        <v>162.77000000000001</v>
      </c>
      <c r="T80" s="31"/>
      <c r="U80" s="32">
        <f t="shared" si="61"/>
        <v>1.54257</v>
      </c>
      <c r="V80" s="31"/>
      <c r="W80" s="33">
        <v>427.81</v>
      </c>
      <c r="X80" s="33"/>
      <c r="Y80" s="33">
        <v>300</v>
      </c>
      <c r="Z80" s="33"/>
      <c r="AA80" s="33">
        <f t="shared" si="62"/>
        <v>127.81</v>
      </c>
      <c r="AB80" s="33"/>
      <c r="AC80" s="33"/>
      <c r="AD80" s="34">
        <v>1500</v>
      </c>
      <c r="AE80" s="34"/>
      <c r="AF80" s="39">
        <v>1165.23</v>
      </c>
      <c r="AG80" s="40"/>
      <c r="AH80" s="41">
        <v>1500</v>
      </c>
      <c r="AI80" s="41"/>
      <c r="AJ80" s="41">
        <v>3015.15</v>
      </c>
      <c r="AK80" s="41"/>
      <c r="AL80" s="41">
        <v>3600</v>
      </c>
      <c r="AM80" s="41"/>
      <c r="AN80" s="41">
        <v>5634.89</v>
      </c>
      <c r="AO80" s="41"/>
      <c r="AP80" s="41">
        <v>2878.48</v>
      </c>
      <c r="AQ80" s="41"/>
      <c r="AR80" s="41">
        <f>ROUND(I80+Q80+Y80,5)</f>
        <v>900</v>
      </c>
      <c r="AS80" s="41">
        <f t="shared" si="27"/>
        <v>5756.96</v>
      </c>
      <c r="AT80" s="41"/>
      <c r="AU80" s="42"/>
      <c r="AV80" s="79">
        <v>500</v>
      </c>
      <c r="AW80" s="80"/>
      <c r="AX80" s="81">
        <f t="shared" si="29"/>
        <v>2034.8900000000003</v>
      </c>
      <c r="AY80" s="88"/>
      <c r="AZ80" s="89">
        <v>2342.3200000000002</v>
      </c>
      <c r="BA80" s="79"/>
      <c r="BB80" s="114"/>
      <c r="BC80" s="83"/>
      <c r="BD80" s="54">
        <v>4969.4399999999996</v>
      </c>
      <c r="BE80" s="54"/>
      <c r="BF80" s="54"/>
      <c r="BG80" s="54">
        <v>3000</v>
      </c>
      <c r="BH80" s="54"/>
      <c r="BI80" s="57">
        <v>4517.9799999999996</v>
      </c>
      <c r="BJ80" s="54"/>
      <c r="BK80" s="54">
        <v>5000</v>
      </c>
      <c r="BL80" s="54"/>
      <c r="BM80" s="58">
        <f t="shared" ref="BM80:BM86" si="63">BK80-BG80</f>
        <v>2000</v>
      </c>
      <c r="BN80" s="58"/>
      <c r="BO80" s="54">
        <v>4042.64</v>
      </c>
      <c r="BP80" s="54"/>
      <c r="BQ80" s="66">
        <v>7097.95</v>
      </c>
      <c r="BR80" s="66"/>
      <c r="BS80" s="66">
        <f t="shared" si="49"/>
        <v>2097.9499999999998</v>
      </c>
      <c r="BT80" s="58"/>
      <c r="BU80" s="54">
        <v>3000</v>
      </c>
      <c r="BV80" s="58"/>
      <c r="BW80" s="58">
        <f t="shared" si="16"/>
        <v>-2000</v>
      </c>
      <c r="BX80" s="58"/>
      <c r="BY80" s="91" t="s">
        <v>267</v>
      </c>
      <c r="BZ80" s="66">
        <v>7176.05</v>
      </c>
      <c r="CA80" s="66"/>
      <c r="CB80" s="54">
        <v>7000</v>
      </c>
      <c r="CC80" s="54"/>
      <c r="CD80" s="54">
        <v>6428.16</v>
      </c>
      <c r="CE80" s="54"/>
      <c r="CF80" s="54">
        <v>7000</v>
      </c>
      <c r="CG80" s="60"/>
      <c r="CH80" s="61">
        <f t="shared" si="55"/>
        <v>0</v>
      </c>
      <c r="CI80" s="200"/>
      <c r="CJ80" s="295" t="s">
        <v>204</v>
      </c>
      <c r="CK80" s="346">
        <f t="shared" si="56"/>
        <v>583.33333333333337</v>
      </c>
    </row>
    <row r="81" spans="1:89" ht="15.75" hidden="1" customHeight="1" x14ac:dyDescent="0.2">
      <c r="A81" s="4"/>
      <c r="B81" s="27"/>
      <c r="C81" s="28" t="s">
        <v>223</v>
      </c>
      <c r="D81" s="28"/>
      <c r="E81" s="29"/>
      <c r="F81" s="28"/>
      <c r="G81" s="30">
        <v>0</v>
      </c>
      <c r="H81" s="31"/>
      <c r="I81" s="30">
        <v>625</v>
      </c>
      <c r="J81" s="31"/>
      <c r="K81" s="30">
        <f t="shared" si="58"/>
        <v>-625</v>
      </c>
      <c r="L81" s="31"/>
      <c r="M81" s="32">
        <f t="shared" si="59"/>
        <v>0</v>
      </c>
      <c r="N81" s="31"/>
      <c r="O81" s="30">
        <v>1601</v>
      </c>
      <c r="P81" s="31"/>
      <c r="Q81" s="30">
        <v>625</v>
      </c>
      <c r="R81" s="31"/>
      <c r="S81" s="30">
        <f t="shared" si="60"/>
        <v>976</v>
      </c>
      <c r="T81" s="31"/>
      <c r="U81" s="32">
        <f t="shared" si="61"/>
        <v>2.5615999999999999</v>
      </c>
      <c r="V81" s="31"/>
      <c r="W81" s="33">
        <v>1021</v>
      </c>
      <c r="X81" s="33"/>
      <c r="Y81" s="33">
        <v>625</v>
      </c>
      <c r="Z81" s="33"/>
      <c r="AA81" s="33">
        <f t="shared" si="62"/>
        <v>396</v>
      </c>
      <c r="AB81" s="33"/>
      <c r="AC81" s="33"/>
      <c r="AD81" s="34">
        <v>25000</v>
      </c>
      <c r="AE81" s="34"/>
      <c r="AF81" s="49">
        <v>24040</v>
      </c>
      <c r="AG81" s="50"/>
      <c r="AH81" s="51">
        <v>7500</v>
      </c>
      <c r="AI81" s="51"/>
      <c r="AJ81" s="51">
        <v>31184.21</v>
      </c>
      <c r="AK81" s="51"/>
      <c r="AL81" s="51">
        <v>7500</v>
      </c>
      <c r="AM81" s="51"/>
      <c r="AN81" s="51">
        <v>7997</v>
      </c>
      <c r="AO81" s="51"/>
      <c r="AP81" s="51">
        <v>7272</v>
      </c>
      <c r="AQ81" s="51"/>
      <c r="AR81" s="51">
        <f>ROUND(I81+Q81+Y81,5)</f>
        <v>1875</v>
      </c>
      <c r="AS81" s="51">
        <f t="shared" si="27"/>
        <v>14544</v>
      </c>
      <c r="AT81" s="51"/>
      <c r="AU81" s="53"/>
      <c r="AV81" s="54">
        <v>7500</v>
      </c>
      <c r="AW81" s="55"/>
      <c r="AX81" s="56">
        <f t="shared" si="29"/>
        <v>497</v>
      </c>
      <c r="AY81" s="88"/>
      <c r="AZ81" s="89">
        <v>9454.82</v>
      </c>
      <c r="BA81" s="54"/>
      <c r="BB81" s="114"/>
      <c r="BC81" s="60"/>
      <c r="BD81" s="54">
        <v>9624.07</v>
      </c>
      <c r="BE81" s="54"/>
      <c r="BF81" s="54"/>
      <c r="BG81" s="54">
        <v>7500</v>
      </c>
      <c r="BH81" s="54"/>
      <c r="BI81" s="57">
        <f>1153.9+3666.59</f>
        <v>4820.49</v>
      </c>
      <c r="BJ81" s="54"/>
      <c r="BK81" s="54">
        <v>150</v>
      </c>
      <c r="BL81" s="54"/>
      <c r="BM81" s="58">
        <f t="shared" si="63"/>
        <v>-7350</v>
      </c>
      <c r="BN81" s="58"/>
      <c r="BO81" s="54">
        <v>75</v>
      </c>
      <c r="BP81" s="54"/>
      <c r="BQ81" s="66">
        <v>75</v>
      </c>
      <c r="BR81" s="66"/>
      <c r="BS81" s="66">
        <f t="shared" si="49"/>
        <v>-75</v>
      </c>
      <c r="BT81" s="58"/>
      <c r="BU81" s="54">
        <v>1500</v>
      </c>
      <c r="BV81" s="58"/>
      <c r="BW81" s="58">
        <f t="shared" si="16"/>
        <v>1350</v>
      </c>
      <c r="BX81" s="58"/>
      <c r="BY81" s="91" t="s">
        <v>268</v>
      </c>
      <c r="BZ81" s="66">
        <f>0</f>
        <v>0</v>
      </c>
      <c r="CA81" s="66"/>
      <c r="CB81" s="54">
        <v>0</v>
      </c>
      <c r="CC81" s="54"/>
      <c r="CD81" s="54">
        <v>0</v>
      </c>
      <c r="CE81" s="54"/>
      <c r="CF81" s="54">
        <v>0</v>
      </c>
      <c r="CG81" s="60"/>
      <c r="CH81" s="61">
        <f t="shared" si="55"/>
        <v>0</v>
      </c>
      <c r="CI81" s="200"/>
      <c r="CJ81" s="301" t="s">
        <v>269</v>
      </c>
      <c r="CK81" s="346">
        <f t="shared" si="56"/>
        <v>0</v>
      </c>
    </row>
    <row r="82" spans="1:89" ht="15.75" customHeight="1" thickBot="1" x14ac:dyDescent="0.25">
      <c r="A82" s="4"/>
      <c r="B82" s="27"/>
      <c r="C82" s="28" t="s">
        <v>60</v>
      </c>
      <c r="D82" s="28"/>
      <c r="E82" s="29"/>
      <c r="F82" s="28"/>
      <c r="G82" s="30">
        <v>2566.2800000000002</v>
      </c>
      <c r="H82" s="31"/>
      <c r="I82" s="30">
        <v>2083.37</v>
      </c>
      <c r="J82" s="31"/>
      <c r="K82" s="30">
        <f t="shared" si="58"/>
        <v>482.91</v>
      </c>
      <c r="L82" s="31"/>
      <c r="M82" s="32">
        <f t="shared" si="59"/>
        <v>1.2317899999999999</v>
      </c>
      <c r="N82" s="31"/>
      <c r="O82" s="30">
        <v>6689.21</v>
      </c>
      <c r="P82" s="31"/>
      <c r="Q82" s="30">
        <v>2083.33</v>
      </c>
      <c r="R82" s="31"/>
      <c r="S82" s="30">
        <f t="shared" si="60"/>
        <v>4605.88</v>
      </c>
      <c r="T82" s="31"/>
      <c r="U82" s="32">
        <f t="shared" si="61"/>
        <v>3.2108300000000001</v>
      </c>
      <c r="V82" s="31"/>
      <c r="W82" s="33">
        <v>4002.26</v>
      </c>
      <c r="X82" s="33"/>
      <c r="Y82" s="33">
        <v>2083.33</v>
      </c>
      <c r="Z82" s="33"/>
      <c r="AA82" s="33">
        <f t="shared" si="62"/>
        <v>1918.93</v>
      </c>
      <c r="AB82" s="33"/>
      <c r="AC82" s="33"/>
      <c r="AD82" s="34">
        <v>50000</v>
      </c>
      <c r="AE82" s="34"/>
      <c r="AF82" s="49">
        <v>49544.22</v>
      </c>
      <c r="AG82" s="50"/>
      <c r="AH82" s="51">
        <v>50000</v>
      </c>
      <c r="AI82" s="51"/>
      <c r="AJ82" s="51">
        <v>25184.67</v>
      </c>
      <c r="AK82" s="51"/>
      <c r="AL82" s="51">
        <v>25000</v>
      </c>
      <c r="AM82" s="51"/>
      <c r="AN82" s="51">
        <v>25036.94</v>
      </c>
      <c r="AO82" s="51"/>
      <c r="AP82" s="51">
        <v>15946.3</v>
      </c>
      <c r="AQ82" s="51"/>
      <c r="AR82" s="51">
        <f>ROUND(I82+Q82+Y82,5)</f>
        <v>6250.03</v>
      </c>
      <c r="AS82" s="51">
        <f t="shared" si="27"/>
        <v>31892.6</v>
      </c>
      <c r="AT82" s="51"/>
      <c r="AU82" s="65"/>
      <c r="AV82" s="54">
        <v>25000</v>
      </c>
      <c r="AW82" s="55"/>
      <c r="AX82" s="56">
        <f t="shared" si="29"/>
        <v>36.93999999999869</v>
      </c>
      <c r="AY82" s="88"/>
      <c r="AZ82" s="89">
        <v>16876.3</v>
      </c>
      <c r="BA82" s="54"/>
      <c r="BB82" s="114"/>
      <c r="BC82" s="60"/>
      <c r="BD82" s="54">
        <v>31183.9</v>
      </c>
      <c r="BE82" s="54"/>
      <c r="BF82" s="54"/>
      <c r="BG82" s="54">
        <v>25000</v>
      </c>
      <c r="BH82" s="54"/>
      <c r="BI82" s="57">
        <v>31382.99</v>
      </c>
      <c r="BJ82" s="54"/>
      <c r="BK82" s="54">
        <v>22000</v>
      </c>
      <c r="BL82" s="54"/>
      <c r="BM82" s="58">
        <f t="shared" si="63"/>
        <v>-3000</v>
      </c>
      <c r="BN82" s="58"/>
      <c r="BO82" s="54">
        <v>10946.86</v>
      </c>
      <c r="BP82" s="54"/>
      <c r="BQ82" s="66">
        <v>20665.939999999999</v>
      </c>
      <c r="BR82" s="66"/>
      <c r="BS82" s="66">
        <f t="shared" si="49"/>
        <v>-1334.0600000000013</v>
      </c>
      <c r="BT82" s="58"/>
      <c r="BU82" s="54">
        <v>25000</v>
      </c>
      <c r="BV82" s="58"/>
      <c r="BW82" s="58">
        <f t="shared" si="16"/>
        <v>3000</v>
      </c>
      <c r="BX82" s="58"/>
      <c r="BY82" s="91" t="s">
        <v>270</v>
      </c>
      <c r="BZ82" s="66">
        <v>31314.58</v>
      </c>
      <c r="CA82" s="66"/>
      <c r="CB82" s="54">
        <v>25000</v>
      </c>
      <c r="CC82" s="54"/>
      <c r="CD82" s="54">
        <v>26412.76</v>
      </c>
      <c r="CE82" s="54"/>
      <c r="CF82" s="54">
        <v>25000</v>
      </c>
      <c r="CG82" s="60"/>
      <c r="CH82" s="61">
        <f t="shared" si="55"/>
        <v>0</v>
      </c>
      <c r="CI82" s="200"/>
      <c r="CJ82" s="295" t="s">
        <v>228</v>
      </c>
      <c r="CK82" s="346">
        <f t="shared" si="56"/>
        <v>2083.3333333333335</v>
      </c>
    </row>
    <row r="83" spans="1:89" ht="18.75" hidden="1" customHeight="1" thickBot="1" x14ac:dyDescent="0.25">
      <c r="A83" s="4"/>
      <c r="B83" s="27"/>
      <c r="C83" s="28" t="s">
        <v>63</v>
      </c>
      <c r="D83" s="28"/>
      <c r="E83" s="29"/>
      <c r="F83" s="28"/>
      <c r="G83" s="30"/>
      <c r="H83" s="31"/>
      <c r="I83" s="30"/>
      <c r="J83" s="31"/>
      <c r="K83" s="30"/>
      <c r="L83" s="31"/>
      <c r="M83" s="32"/>
      <c r="N83" s="31"/>
      <c r="O83" s="30"/>
      <c r="P83" s="31"/>
      <c r="Q83" s="30"/>
      <c r="R83" s="31"/>
      <c r="S83" s="30"/>
      <c r="T83" s="31"/>
      <c r="U83" s="32"/>
      <c r="V83" s="31"/>
      <c r="W83" s="33"/>
      <c r="X83" s="33"/>
      <c r="Y83" s="33"/>
      <c r="Z83" s="33"/>
      <c r="AA83" s="33"/>
      <c r="AB83" s="33"/>
      <c r="AC83" s="33"/>
      <c r="AD83" s="34"/>
      <c r="AE83" s="34"/>
      <c r="AF83" s="49"/>
      <c r="AG83" s="50"/>
      <c r="AH83" s="51"/>
      <c r="AI83" s="51"/>
      <c r="AJ83" s="65"/>
      <c r="AK83" s="51"/>
      <c r="AL83" s="51"/>
      <c r="AM83" s="51"/>
      <c r="AN83" s="51"/>
      <c r="AO83" s="51"/>
      <c r="AP83" s="51"/>
      <c r="AQ83" s="51"/>
      <c r="AR83" s="51"/>
      <c r="AS83" s="51">
        <f t="shared" si="27"/>
        <v>0</v>
      </c>
      <c r="AT83" s="51"/>
      <c r="AU83" s="65"/>
      <c r="AV83" s="54"/>
      <c r="AW83" s="55"/>
      <c r="AX83" s="56"/>
      <c r="AY83" s="88"/>
      <c r="AZ83" s="89"/>
      <c r="BA83" s="54"/>
      <c r="BB83" s="114"/>
      <c r="BC83" s="60"/>
      <c r="BD83" s="54">
        <f t="shared" si="7"/>
        <v>0</v>
      </c>
      <c r="BE83" s="54"/>
      <c r="BF83" s="54"/>
      <c r="BG83" s="54"/>
      <c r="BH83" s="54"/>
      <c r="BI83" s="57"/>
      <c r="BJ83" s="54"/>
      <c r="BK83" s="54"/>
      <c r="BL83" s="54"/>
      <c r="BM83" s="58">
        <f t="shared" si="63"/>
        <v>0</v>
      </c>
      <c r="BN83" s="58"/>
      <c r="BO83" s="54"/>
      <c r="BP83" s="54"/>
      <c r="BQ83" s="66">
        <f t="shared" si="57"/>
        <v>0</v>
      </c>
      <c r="BR83" s="66"/>
      <c r="BS83" s="66">
        <f t="shared" si="49"/>
        <v>0</v>
      </c>
      <c r="BT83" s="58"/>
      <c r="BU83" s="54">
        <f>BM83-BI83</f>
        <v>0</v>
      </c>
      <c r="BV83" s="58"/>
      <c r="BW83" s="58">
        <f t="shared" si="16"/>
        <v>0</v>
      </c>
      <c r="BX83" s="58"/>
      <c r="BY83" s="91"/>
      <c r="BZ83" s="66">
        <f>BX83*2</f>
        <v>0</v>
      </c>
      <c r="CA83" s="66"/>
      <c r="CB83" s="54">
        <f t="shared" ref="CB83:CB85" si="64">BS83-BO83</f>
        <v>0</v>
      </c>
      <c r="CC83" s="54"/>
      <c r="CD83" s="54">
        <f>BT83-BP83</f>
        <v>0</v>
      </c>
      <c r="CE83" s="54"/>
      <c r="CF83" s="54">
        <f>BU83-BQ83</f>
        <v>0</v>
      </c>
      <c r="CG83" s="60"/>
      <c r="CH83" s="61">
        <f t="shared" si="55"/>
        <v>0</v>
      </c>
      <c r="CI83" s="200"/>
      <c r="CJ83" s="294"/>
      <c r="CK83" s="346">
        <f t="shared" si="56"/>
        <v>0</v>
      </c>
    </row>
    <row r="84" spans="1:89" ht="18.75" hidden="1" customHeight="1" x14ac:dyDescent="0.2">
      <c r="A84" s="4"/>
      <c r="B84" s="27"/>
      <c r="C84" s="28"/>
      <c r="D84" s="348" t="s">
        <v>64</v>
      </c>
      <c r="E84" s="348"/>
      <c r="F84" s="348"/>
      <c r="G84" s="30">
        <v>2666.41</v>
      </c>
      <c r="H84" s="31"/>
      <c r="I84" s="30">
        <v>2333.37</v>
      </c>
      <c r="J84" s="31"/>
      <c r="K84" s="30">
        <f t="shared" ref="K84:K93" si="65">ROUND((G84-I84),5)</f>
        <v>333.04</v>
      </c>
      <c r="L84" s="31"/>
      <c r="M84" s="32">
        <f t="shared" ref="M84:M93" si="66">ROUND(IF(I84=0, IF(G84=0, 0, 1), G84/I84),5)</f>
        <v>1.14273</v>
      </c>
      <c r="N84" s="31"/>
      <c r="O84" s="30">
        <v>1714.38</v>
      </c>
      <c r="P84" s="31"/>
      <c r="Q84" s="30">
        <v>2333.33</v>
      </c>
      <c r="R84" s="31"/>
      <c r="S84" s="30">
        <f t="shared" ref="S84:S93" si="67">ROUND((O84-Q84),5)</f>
        <v>-618.95000000000005</v>
      </c>
      <c r="T84" s="31"/>
      <c r="U84" s="32">
        <f t="shared" ref="U84:U93" si="68">ROUND(IF(Q84=0, IF(O84=0, 0, 1), O84/Q84),5)</f>
        <v>0.73473999999999995</v>
      </c>
      <c r="V84" s="31"/>
      <c r="W84" s="33">
        <v>2445.09</v>
      </c>
      <c r="X84" s="33"/>
      <c r="Y84" s="33">
        <v>2333.33</v>
      </c>
      <c r="Z84" s="33"/>
      <c r="AA84" s="33">
        <f t="shared" ref="AA84:AA93" si="69">ROUND((W84-Y84),5)</f>
        <v>111.76</v>
      </c>
      <c r="AB84" s="33"/>
      <c r="AC84" s="33"/>
      <c r="AD84" s="34"/>
      <c r="AE84" s="34"/>
      <c r="AF84" s="49"/>
      <c r="AG84" s="50"/>
      <c r="AH84" s="51"/>
      <c r="AI84" s="51"/>
      <c r="AJ84" s="51">
        <v>16182.61</v>
      </c>
      <c r="AK84" s="51"/>
      <c r="AL84" s="51">
        <v>28000</v>
      </c>
      <c r="AM84" s="51"/>
      <c r="AN84" s="51">
        <v>28000</v>
      </c>
      <c r="AO84" s="51"/>
      <c r="AP84" s="51">
        <v>11810.78</v>
      </c>
      <c r="AQ84" s="51"/>
      <c r="AR84" s="51">
        <f t="shared" ref="AR84:AR91" si="70">ROUND(I84+Q84+Y84,5)</f>
        <v>7000.03</v>
      </c>
      <c r="AS84" s="51">
        <f t="shared" si="27"/>
        <v>23621.56</v>
      </c>
      <c r="AT84" s="51"/>
      <c r="AU84" s="65"/>
      <c r="AV84" s="54">
        <v>12000</v>
      </c>
      <c r="AW84" s="55"/>
      <c r="AX84" s="56">
        <f>AN84-AL84</f>
        <v>0</v>
      </c>
      <c r="AY84" s="88"/>
      <c r="AZ84" s="89">
        <v>5163.51</v>
      </c>
      <c r="BA84" s="54"/>
      <c r="BB84" s="114"/>
      <c r="BC84" s="60"/>
      <c r="BD84" s="54">
        <f t="shared" si="7"/>
        <v>10327.02</v>
      </c>
      <c r="BE84" s="54"/>
      <c r="BF84" s="54"/>
      <c r="BG84" s="54"/>
      <c r="BH84" s="54"/>
      <c r="BI84" s="57"/>
      <c r="BJ84" s="54"/>
      <c r="BK84" s="54"/>
      <c r="BL84" s="54"/>
      <c r="BM84" s="58">
        <f t="shared" si="63"/>
        <v>0</v>
      </c>
      <c r="BN84" s="58"/>
      <c r="BO84" s="54"/>
      <c r="BP84" s="54"/>
      <c r="BQ84" s="66">
        <f t="shared" si="57"/>
        <v>0</v>
      </c>
      <c r="BR84" s="66"/>
      <c r="BS84" s="66">
        <f t="shared" si="49"/>
        <v>0</v>
      </c>
      <c r="BT84" s="58"/>
      <c r="BU84" s="54">
        <f>BM84-BI84</f>
        <v>0</v>
      </c>
      <c r="BV84" s="58"/>
      <c r="BW84" s="58">
        <f t="shared" ref="BW84:BW148" si="71">BU84-BK84</f>
        <v>0</v>
      </c>
      <c r="BX84" s="58"/>
      <c r="BY84" s="91"/>
      <c r="BZ84" s="66">
        <f>BX84*2</f>
        <v>0</v>
      </c>
      <c r="CA84" s="66"/>
      <c r="CB84" s="54">
        <f t="shared" si="64"/>
        <v>0</v>
      </c>
      <c r="CC84" s="54"/>
      <c r="CD84" s="54">
        <f>BT84-BP84</f>
        <v>0</v>
      </c>
      <c r="CE84" s="54"/>
      <c r="CF84" s="54">
        <f>BU84-BQ84</f>
        <v>0</v>
      </c>
      <c r="CG84" s="60"/>
      <c r="CH84" s="61">
        <f t="shared" si="55"/>
        <v>0</v>
      </c>
      <c r="CI84" s="200"/>
      <c r="CJ84" s="294"/>
      <c r="CK84" s="346">
        <f t="shared" si="56"/>
        <v>0</v>
      </c>
    </row>
    <row r="85" spans="1:89" ht="4.5" hidden="1" customHeight="1" thickBot="1" x14ac:dyDescent="0.25">
      <c r="A85" s="4"/>
      <c r="B85" s="27"/>
      <c r="C85" s="28"/>
      <c r="D85" s="348" t="s">
        <v>65</v>
      </c>
      <c r="E85" s="348"/>
      <c r="F85" s="348"/>
      <c r="G85" s="68">
        <v>179.85</v>
      </c>
      <c r="H85" s="31"/>
      <c r="I85" s="68">
        <v>0</v>
      </c>
      <c r="J85" s="31"/>
      <c r="K85" s="68">
        <f t="shared" si="65"/>
        <v>179.85</v>
      </c>
      <c r="L85" s="31"/>
      <c r="M85" s="69">
        <f t="shared" si="66"/>
        <v>1</v>
      </c>
      <c r="N85" s="31"/>
      <c r="O85" s="68">
        <v>161.61000000000001</v>
      </c>
      <c r="P85" s="31"/>
      <c r="Q85" s="68">
        <v>0</v>
      </c>
      <c r="R85" s="31"/>
      <c r="S85" s="68">
        <f t="shared" si="67"/>
        <v>161.61000000000001</v>
      </c>
      <c r="T85" s="31"/>
      <c r="U85" s="69">
        <f t="shared" si="68"/>
        <v>1</v>
      </c>
      <c r="V85" s="31"/>
      <c r="W85" s="33">
        <v>326.61</v>
      </c>
      <c r="X85" s="33"/>
      <c r="Y85" s="33">
        <v>300</v>
      </c>
      <c r="Z85" s="33"/>
      <c r="AA85" s="33">
        <f t="shared" si="69"/>
        <v>26.61</v>
      </c>
      <c r="AB85" s="33"/>
      <c r="AC85" s="33"/>
      <c r="AD85" s="34"/>
      <c r="AE85" s="34"/>
      <c r="AF85" s="49"/>
      <c r="AG85" s="50"/>
      <c r="AH85" s="51"/>
      <c r="AI85" s="51"/>
      <c r="AJ85" s="51">
        <v>899.4</v>
      </c>
      <c r="AK85" s="51"/>
      <c r="AL85" s="51">
        <v>1200</v>
      </c>
      <c r="AM85" s="51"/>
      <c r="AN85" s="51">
        <v>1200</v>
      </c>
      <c r="AO85" s="51"/>
      <c r="AP85" s="51">
        <v>847.92</v>
      </c>
      <c r="AQ85" s="51"/>
      <c r="AR85" s="51">
        <f t="shared" si="70"/>
        <v>300</v>
      </c>
      <c r="AS85" s="51">
        <f t="shared" si="27"/>
        <v>1695.84</v>
      </c>
      <c r="AT85" s="51"/>
      <c r="AU85" s="65"/>
      <c r="AV85" s="54">
        <v>1200</v>
      </c>
      <c r="AW85" s="55"/>
      <c r="AX85" s="56">
        <f>AN85-AL85</f>
        <v>0</v>
      </c>
      <c r="AY85" s="88"/>
      <c r="AZ85" s="89">
        <v>286.27999999999997</v>
      </c>
      <c r="BA85" s="54"/>
      <c r="BB85" s="114"/>
      <c r="BC85" s="60"/>
      <c r="BD85" s="54">
        <f t="shared" si="7"/>
        <v>572.55999999999995</v>
      </c>
      <c r="BE85" s="54"/>
      <c r="BF85" s="54"/>
      <c r="BG85" s="54"/>
      <c r="BH85" s="54"/>
      <c r="BI85" s="57"/>
      <c r="BJ85" s="54"/>
      <c r="BK85" s="54"/>
      <c r="BL85" s="54"/>
      <c r="BM85" s="58">
        <f t="shared" si="63"/>
        <v>0</v>
      </c>
      <c r="BN85" s="58"/>
      <c r="BO85" s="54"/>
      <c r="BP85" s="54"/>
      <c r="BQ85" s="66">
        <f t="shared" si="57"/>
        <v>0</v>
      </c>
      <c r="BR85" s="66"/>
      <c r="BS85" s="66">
        <f t="shared" si="49"/>
        <v>0</v>
      </c>
      <c r="BT85" s="58"/>
      <c r="BU85" s="54">
        <f>BM85-BI85</f>
        <v>0</v>
      </c>
      <c r="BV85" s="58"/>
      <c r="BW85" s="58">
        <f t="shared" si="71"/>
        <v>0</v>
      </c>
      <c r="BX85" s="58"/>
      <c r="BY85" s="91"/>
      <c r="BZ85" s="66">
        <f>BX85*2</f>
        <v>0</v>
      </c>
      <c r="CA85" s="66"/>
      <c r="CB85" s="54">
        <f t="shared" si="64"/>
        <v>0</v>
      </c>
      <c r="CC85" s="54"/>
      <c r="CD85" s="54">
        <f>BT85-BP85</f>
        <v>0</v>
      </c>
      <c r="CE85" s="54"/>
      <c r="CF85" s="54">
        <f>BU85-BQ85</f>
        <v>0</v>
      </c>
      <c r="CG85" s="60"/>
      <c r="CH85" s="61">
        <f t="shared" si="55"/>
        <v>0</v>
      </c>
      <c r="CI85" s="200"/>
      <c r="CJ85" s="294"/>
      <c r="CK85" s="346">
        <f t="shared" si="56"/>
        <v>0</v>
      </c>
    </row>
    <row r="86" spans="1:89" ht="12" customHeight="1" thickBot="1" x14ac:dyDescent="0.25">
      <c r="A86" s="4"/>
      <c r="B86" s="27"/>
      <c r="C86" s="354" t="s">
        <v>63</v>
      </c>
      <c r="D86" s="354"/>
      <c r="E86" s="354"/>
      <c r="F86" s="354"/>
      <c r="G86" s="119">
        <f>ROUND(SUM(G83:G85),5)</f>
        <v>2846.26</v>
      </c>
      <c r="H86" s="120"/>
      <c r="I86" s="119">
        <f>ROUND(SUM(I83:I85),5)</f>
        <v>2333.37</v>
      </c>
      <c r="J86" s="120"/>
      <c r="K86" s="119">
        <f t="shared" si="65"/>
        <v>512.89</v>
      </c>
      <c r="L86" s="120"/>
      <c r="M86" s="121">
        <f t="shared" si="66"/>
        <v>1.2198100000000001</v>
      </c>
      <c r="N86" s="120"/>
      <c r="O86" s="119">
        <f>ROUND(SUM(O83:O85),5)</f>
        <v>1875.99</v>
      </c>
      <c r="P86" s="120"/>
      <c r="Q86" s="119">
        <f>ROUND(SUM(Q83:Q85),5)</f>
        <v>2333.33</v>
      </c>
      <c r="R86" s="120"/>
      <c r="S86" s="119">
        <f t="shared" si="67"/>
        <v>-457.34</v>
      </c>
      <c r="T86" s="120"/>
      <c r="U86" s="121">
        <f t="shared" si="68"/>
        <v>0.80400000000000005</v>
      </c>
      <c r="V86" s="120"/>
      <c r="W86" s="77">
        <f>ROUND(SUM(W83:W85),5)</f>
        <v>2771.7</v>
      </c>
      <c r="X86" s="77"/>
      <c r="Y86" s="77">
        <f>ROUND(SUM(Y83:Y85),5)</f>
        <v>2633.33</v>
      </c>
      <c r="Z86" s="77"/>
      <c r="AA86" s="77">
        <f t="shared" si="69"/>
        <v>138.37</v>
      </c>
      <c r="AB86" s="77"/>
      <c r="AC86" s="77"/>
      <c r="AD86" s="77">
        <v>18000</v>
      </c>
      <c r="AE86" s="34"/>
      <c r="AF86" s="49">
        <v>16386.68</v>
      </c>
      <c r="AG86" s="50"/>
      <c r="AH86" s="54">
        <v>18000</v>
      </c>
      <c r="AI86" s="54"/>
      <c r="AJ86" s="54">
        <v>17082.010000000002</v>
      </c>
      <c r="AK86" s="54"/>
      <c r="AL86" s="54">
        <f>AL84+AL85</f>
        <v>29200</v>
      </c>
      <c r="AM86" s="54"/>
      <c r="AN86" s="54">
        <v>15913.26</v>
      </c>
      <c r="AO86" s="54"/>
      <c r="AP86" s="54">
        <f>AP84+AP85</f>
        <v>12658.7</v>
      </c>
      <c r="AQ86" s="54"/>
      <c r="AR86" s="54">
        <f>AR84+AR85</f>
        <v>7300.03</v>
      </c>
      <c r="AS86" s="54">
        <f t="shared" si="27"/>
        <v>25317.4</v>
      </c>
      <c r="AT86" s="54"/>
      <c r="AU86" s="53"/>
      <c r="AV86" s="54">
        <f>AV84+AV85</f>
        <v>13200</v>
      </c>
      <c r="AW86" s="55"/>
      <c r="AX86" s="56">
        <f>AN86-AL86</f>
        <v>-13286.74</v>
      </c>
      <c r="AY86" s="88"/>
      <c r="AZ86" s="89">
        <v>5449.79</v>
      </c>
      <c r="BA86" s="60"/>
      <c r="BB86" s="114"/>
      <c r="BC86" s="132"/>
      <c r="BD86" s="54">
        <f>12174.26</f>
        <v>12174.26</v>
      </c>
      <c r="BE86" s="54"/>
      <c r="BF86" s="54"/>
      <c r="BG86" s="54">
        <v>13200</v>
      </c>
      <c r="BH86" s="54"/>
      <c r="BI86" s="57">
        <v>9874.11</v>
      </c>
      <c r="BJ86" s="54"/>
      <c r="BK86" s="54">
        <v>12500</v>
      </c>
      <c r="BL86" s="54"/>
      <c r="BM86" s="58">
        <f t="shared" si="63"/>
        <v>-700</v>
      </c>
      <c r="BN86" s="58"/>
      <c r="BO86" s="54">
        <v>6057.95</v>
      </c>
      <c r="BP86" s="54"/>
      <c r="BQ86" s="66">
        <v>9889.3700000000008</v>
      </c>
      <c r="BR86" s="66"/>
      <c r="BS86" s="66">
        <f t="shared" si="49"/>
        <v>-2610.6299999999992</v>
      </c>
      <c r="BT86" s="58"/>
      <c r="BU86" s="54">
        <v>13200</v>
      </c>
      <c r="BV86" s="58"/>
      <c r="BW86" s="58">
        <f t="shared" si="71"/>
        <v>700</v>
      </c>
      <c r="BX86" s="58"/>
      <c r="BY86" s="91" t="s">
        <v>271</v>
      </c>
      <c r="BZ86" s="66">
        <v>6059.65</v>
      </c>
      <c r="CA86" s="66"/>
      <c r="CB86" s="54">
        <v>13200</v>
      </c>
      <c r="CC86" s="54"/>
      <c r="CD86" s="54">
        <v>8203.16</v>
      </c>
      <c r="CE86" s="54"/>
      <c r="CF86" s="54">
        <v>10000</v>
      </c>
      <c r="CG86" s="60"/>
      <c r="CH86" s="61">
        <f t="shared" si="55"/>
        <v>-3200</v>
      </c>
      <c r="CI86" s="200"/>
      <c r="CJ86" s="293" t="s">
        <v>272</v>
      </c>
      <c r="CK86" s="346">
        <f t="shared" si="56"/>
        <v>833.33333333333337</v>
      </c>
    </row>
    <row r="87" spans="1:89" ht="12.75" customHeight="1" x14ac:dyDescent="0.2">
      <c r="A87" s="4"/>
      <c r="B87" s="27"/>
      <c r="C87" s="28" t="s">
        <v>66</v>
      </c>
      <c r="D87" s="28"/>
      <c r="E87" s="29"/>
      <c r="F87" s="28"/>
      <c r="G87" s="30">
        <v>246.16</v>
      </c>
      <c r="H87" s="31"/>
      <c r="I87" s="30">
        <v>416.63</v>
      </c>
      <c r="J87" s="31"/>
      <c r="K87" s="30">
        <f t="shared" si="65"/>
        <v>-170.47</v>
      </c>
      <c r="L87" s="31"/>
      <c r="M87" s="32">
        <f t="shared" si="66"/>
        <v>0.59084000000000003</v>
      </c>
      <c r="N87" s="31"/>
      <c r="O87" s="30">
        <v>0</v>
      </c>
      <c r="P87" s="31"/>
      <c r="Q87" s="30">
        <v>416.67</v>
      </c>
      <c r="R87" s="31"/>
      <c r="S87" s="30">
        <f t="shared" si="67"/>
        <v>-416.67</v>
      </c>
      <c r="T87" s="31"/>
      <c r="U87" s="32">
        <f t="shared" si="68"/>
        <v>0</v>
      </c>
      <c r="V87" s="31"/>
      <c r="W87" s="33">
        <v>188.25</v>
      </c>
      <c r="X87" s="33"/>
      <c r="Y87" s="33">
        <v>416.67</v>
      </c>
      <c r="Z87" s="33"/>
      <c r="AA87" s="33">
        <f t="shared" si="69"/>
        <v>-228.42</v>
      </c>
      <c r="AB87" s="33"/>
      <c r="AC87" s="33"/>
      <c r="AD87" s="34">
        <v>5500</v>
      </c>
      <c r="AE87" s="34"/>
      <c r="AF87" s="49">
        <v>6143.62</v>
      </c>
      <c r="AG87" s="50"/>
      <c r="AH87" s="51">
        <v>7500</v>
      </c>
      <c r="AI87" s="51"/>
      <c r="AJ87" s="51">
        <v>2254</v>
      </c>
      <c r="AK87" s="51"/>
      <c r="AL87" s="51">
        <v>5000</v>
      </c>
      <c r="AM87" s="51"/>
      <c r="AN87" s="51">
        <v>4275.3</v>
      </c>
      <c r="AO87" s="51"/>
      <c r="AP87" s="51">
        <v>2520.61</v>
      </c>
      <c r="AQ87" s="51"/>
      <c r="AR87" s="51">
        <f t="shared" si="70"/>
        <v>1249.97</v>
      </c>
      <c r="AS87" s="51">
        <f t="shared" si="27"/>
        <v>5041.22</v>
      </c>
      <c r="AT87" s="51"/>
      <c r="AU87" s="65"/>
      <c r="AV87" s="54">
        <v>5000</v>
      </c>
      <c r="AW87" s="55"/>
      <c r="AX87" s="56">
        <f>AN87-AL87</f>
        <v>-724.69999999999982</v>
      </c>
      <c r="AY87" s="88"/>
      <c r="AZ87" s="89">
        <v>3542.65</v>
      </c>
      <c r="BA87" s="54"/>
      <c r="BB87" s="114"/>
      <c r="BC87" s="60"/>
      <c r="BD87" s="54">
        <v>6114.65</v>
      </c>
      <c r="BE87" s="54"/>
      <c r="BF87" s="54"/>
      <c r="BG87" s="54">
        <v>5000</v>
      </c>
      <c r="BH87" s="54"/>
      <c r="BI87" s="57">
        <v>18324.62</v>
      </c>
      <c r="BJ87" s="54"/>
      <c r="BK87" s="54">
        <v>8000</v>
      </c>
      <c r="BL87" s="54"/>
      <c r="BM87" s="58">
        <v>7000</v>
      </c>
      <c r="BN87" s="58"/>
      <c r="BO87" s="54">
        <v>7774.91</v>
      </c>
      <c r="BP87" s="54"/>
      <c r="BQ87" s="66">
        <v>9323.3700000000008</v>
      </c>
      <c r="BR87" s="66"/>
      <c r="BS87" s="66">
        <f t="shared" si="49"/>
        <v>1323.3700000000008</v>
      </c>
      <c r="BT87" s="58"/>
      <c r="BU87" s="54">
        <v>12000</v>
      </c>
      <c r="BV87" s="58"/>
      <c r="BW87" s="58">
        <f t="shared" si="71"/>
        <v>4000</v>
      </c>
      <c r="BX87" s="58"/>
      <c r="BY87" s="91" t="s">
        <v>273</v>
      </c>
      <c r="BZ87" s="66">
        <v>12473.5</v>
      </c>
      <c r="CA87" s="66"/>
      <c r="CB87" s="54">
        <v>12000</v>
      </c>
      <c r="CC87" s="54"/>
      <c r="CD87" s="54">
        <v>11315.36</v>
      </c>
      <c r="CE87" s="54"/>
      <c r="CF87" s="54">
        <v>12000</v>
      </c>
      <c r="CG87" s="60"/>
      <c r="CH87" s="61">
        <f t="shared" si="55"/>
        <v>0</v>
      </c>
      <c r="CI87" s="200"/>
      <c r="CJ87" s="295" t="s">
        <v>204</v>
      </c>
      <c r="CK87" s="346">
        <f t="shared" si="56"/>
        <v>1000</v>
      </c>
    </row>
    <row r="88" spans="1:89" ht="12.75" customHeight="1" x14ac:dyDescent="0.2">
      <c r="A88" s="4"/>
      <c r="B88" s="27"/>
      <c r="C88" s="28" t="s">
        <v>67</v>
      </c>
      <c r="D88" s="28"/>
      <c r="E88" s="29"/>
      <c r="F88" s="28"/>
      <c r="G88" s="30">
        <v>112.54</v>
      </c>
      <c r="H88" s="31"/>
      <c r="I88" s="30">
        <v>166.63</v>
      </c>
      <c r="J88" s="31"/>
      <c r="K88" s="30">
        <f t="shared" si="65"/>
        <v>-54.09</v>
      </c>
      <c r="L88" s="31"/>
      <c r="M88" s="32">
        <f t="shared" si="66"/>
        <v>0.67539000000000005</v>
      </c>
      <c r="N88" s="31"/>
      <c r="O88" s="30">
        <v>1545.01</v>
      </c>
      <c r="P88" s="31"/>
      <c r="Q88" s="30">
        <v>166.67</v>
      </c>
      <c r="R88" s="31"/>
      <c r="S88" s="30">
        <f t="shared" si="67"/>
        <v>1378.34</v>
      </c>
      <c r="T88" s="31"/>
      <c r="U88" s="32">
        <f t="shared" si="68"/>
        <v>9.2698699999999992</v>
      </c>
      <c r="V88" s="31"/>
      <c r="W88" s="33">
        <v>3</v>
      </c>
      <c r="X88" s="33"/>
      <c r="Y88" s="33">
        <v>166.67</v>
      </c>
      <c r="Z88" s="33"/>
      <c r="AA88" s="33">
        <f t="shared" si="69"/>
        <v>-163.66999999999999</v>
      </c>
      <c r="AB88" s="33"/>
      <c r="AC88" s="33"/>
      <c r="AD88" s="34">
        <v>2000</v>
      </c>
      <c r="AE88" s="34"/>
      <c r="AF88" s="49">
        <v>1738.15</v>
      </c>
      <c r="AG88" s="50"/>
      <c r="AH88" s="51">
        <v>2000</v>
      </c>
      <c r="AI88" s="51"/>
      <c r="AJ88" s="51">
        <v>1576.56</v>
      </c>
      <c r="AK88" s="51"/>
      <c r="AL88" s="51">
        <v>2000</v>
      </c>
      <c r="AM88" s="51"/>
      <c r="AN88" s="51">
        <v>5998.21</v>
      </c>
      <c r="AO88" s="51"/>
      <c r="AP88" s="51">
        <v>5158</v>
      </c>
      <c r="AQ88" s="51"/>
      <c r="AR88" s="51">
        <f t="shared" si="70"/>
        <v>499.97</v>
      </c>
      <c r="AS88" s="51">
        <f t="shared" si="27"/>
        <v>10316</v>
      </c>
      <c r="AT88" s="51"/>
      <c r="AU88" s="65"/>
      <c r="AV88" s="54">
        <v>2000</v>
      </c>
      <c r="AW88" s="55"/>
      <c r="AX88" s="56">
        <f>AN88-AL88</f>
        <v>3998.21</v>
      </c>
      <c r="AY88" s="88"/>
      <c r="AZ88" s="89">
        <v>2094.84</v>
      </c>
      <c r="BA88" s="54"/>
      <c r="BB88" s="114"/>
      <c r="BC88" s="60"/>
      <c r="BD88" s="54">
        <v>5564.97</v>
      </c>
      <c r="BE88" s="54"/>
      <c r="BF88" s="54"/>
      <c r="BG88" s="54">
        <v>2000</v>
      </c>
      <c r="BH88" s="54"/>
      <c r="BI88" s="57">
        <v>912.05</v>
      </c>
      <c r="BJ88" s="54"/>
      <c r="BK88" s="54">
        <v>4000</v>
      </c>
      <c r="BL88" s="54"/>
      <c r="BM88" s="58">
        <f>BK88-BG88</f>
        <v>2000</v>
      </c>
      <c r="BN88" s="58"/>
      <c r="BO88" s="54">
        <v>3972.7</v>
      </c>
      <c r="BP88" s="54"/>
      <c r="BQ88" s="66">
        <v>5092.6400000000003</v>
      </c>
      <c r="BR88" s="66"/>
      <c r="BS88" s="66">
        <f t="shared" si="49"/>
        <v>1092.6400000000003</v>
      </c>
      <c r="BT88" s="58"/>
      <c r="BU88" s="54">
        <v>2000</v>
      </c>
      <c r="BV88" s="58"/>
      <c r="BW88" s="58">
        <f t="shared" si="71"/>
        <v>-2000</v>
      </c>
      <c r="BX88" s="58"/>
      <c r="BY88" s="90" t="s">
        <v>206</v>
      </c>
      <c r="BZ88" s="66">
        <v>711.25</v>
      </c>
      <c r="CA88" s="66"/>
      <c r="CB88" s="54">
        <v>3500</v>
      </c>
      <c r="CC88" s="54"/>
      <c r="CD88" s="54">
        <v>4454.24</v>
      </c>
      <c r="CE88" s="54"/>
      <c r="CF88" s="54">
        <v>3500</v>
      </c>
      <c r="CG88" s="60"/>
      <c r="CH88" s="61">
        <f t="shared" si="55"/>
        <v>0</v>
      </c>
      <c r="CI88" s="200"/>
      <c r="CJ88" s="295" t="s">
        <v>204</v>
      </c>
      <c r="CK88" s="346">
        <f t="shared" si="56"/>
        <v>291.66666666666669</v>
      </c>
    </row>
    <row r="89" spans="1:89" ht="1.5" hidden="1" customHeight="1" x14ac:dyDescent="0.2">
      <c r="A89" s="4"/>
      <c r="B89" s="27"/>
      <c r="C89" s="28" t="s">
        <v>156</v>
      </c>
      <c r="D89" s="28"/>
      <c r="E89" s="29"/>
      <c r="F89" s="28"/>
      <c r="G89" s="30"/>
      <c r="H89" s="31"/>
      <c r="I89" s="30"/>
      <c r="J89" s="31"/>
      <c r="K89" s="30"/>
      <c r="L89" s="31"/>
      <c r="M89" s="32"/>
      <c r="N89" s="31"/>
      <c r="O89" s="30"/>
      <c r="P89" s="31"/>
      <c r="Q89" s="30"/>
      <c r="R89" s="31"/>
      <c r="S89" s="30"/>
      <c r="T89" s="31"/>
      <c r="U89" s="32"/>
      <c r="V89" s="31"/>
      <c r="W89" s="33"/>
      <c r="X89" s="33"/>
      <c r="Y89" s="33"/>
      <c r="Z89" s="33"/>
      <c r="AA89" s="33"/>
      <c r="AB89" s="33"/>
      <c r="AC89" s="33"/>
      <c r="AD89" s="34"/>
      <c r="AE89" s="34"/>
      <c r="AF89" s="49"/>
      <c r="AG89" s="50"/>
      <c r="AH89" s="51"/>
      <c r="AI89" s="51"/>
      <c r="AJ89" s="51"/>
      <c r="AK89" s="51"/>
      <c r="AL89" s="51"/>
      <c r="AM89" s="51"/>
      <c r="AN89" s="51"/>
      <c r="AO89" s="51"/>
      <c r="AP89" s="51"/>
      <c r="AQ89" s="51"/>
      <c r="AR89" s="51"/>
      <c r="AS89" s="51"/>
      <c r="AT89" s="51"/>
      <c r="AU89" s="65"/>
      <c r="AV89" s="54">
        <v>5000</v>
      </c>
      <c r="AW89" s="55"/>
      <c r="AX89" s="56"/>
      <c r="AY89" s="88"/>
      <c r="AZ89" s="89">
        <v>0</v>
      </c>
      <c r="BA89" s="54"/>
      <c r="BB89" s="114"/>
      <c r="BC89" s="60"/>
      <c r="BD89" s="54">
        <v>2191.5</v>
      </c>
      <c r="BE89" s="54"/>
      <c r="BF89" s="54"/>
      <c r="BG89" s="54">
        <v>2500</v>
      </c>
      <c r="BH89" s="54"/>
      <c r="BI89" s="57">
        <v>2440.4499999999998</v>
      </c>
      <c r="BJ89" s="54"/>
      <c r="BK89" s="54">
        <v>0</v>
      </c>
      <c r="BL89" s="54"/>
      <c r="BM89" s="58">
        <f>BK89-BG89</f>
        <v>-2500</v>
      </c>
      <c r="BN89" s="58"/>
      <c r="BO89" s="54"/>
      <c r="BP89" s="54"/>
      <c r="BQ89" s="66">
        <f t="shared" si="57"/>
        <v>0</v>
      </c>
      <c r="BR89" s="66"/>
      <c r="BS89" s="66">
        <f t="shared" si="49"/>
        <v>0</v>
      </c>
      <c r="BT89" s="58"/>
      <c r="BU89" s="54">
        <v>0</v>
      </c>
      <c r="BV89" s="58"/>
      <c r="BW89" s="58">
        <f t="shared" si="71"/>
        <v>0</v>
      </c>
      <c r="BX89" s="58"/>
      <c r="BY89" s="91"/>
      <c r="BZ89" s="66">
        <f>BX89*2</f>
        <v>0</v>
      </c>
      <c r="CA89" s="66"/>
      <c r="CB89" s="54">
        <v>0</v>
      </c>
      <c r="CC89" s="54"/>
      <c r="CD89" s="54">
        <v>0</v>
      </c>
      <c r="CE89" s="54"/>
      <c r="CF89" s="54">
        <v>0</v>
      </c>
      <c r="CG89" s="60"/>
      <c r="CH89" s="61">
        <f t="shared" si="55"/>
        <v>0</v>
      </c>
      <c r="CI89" s="200"/>
      <c r="CJ89" s="294"/>
      <c r="CK89" s="346">
        <f t="shared" si="56"/>
        <v>0</v>
      </c>
    </row>
    <row r="90" spans="1:89" ht="13.5" customHeight="1" x14ac:dyDescent="0.2">
      <c r="A90" s="4"/>
      <c r="B90" s="27"/>
      <c r="C90" s="28" t="s">
        <v>62</v>
      </c>
      <c r="D90" s="28"/>
      <c r="E90" s="29"/>
      <c r="F90" s="28"/>
      <c r="G90" s="30">
        <v>494</v>
      </c>
      <c r="H90" s="31"/>
      <c r="I90" s="30">
        <v>416.63</v>
      </c>
      <c r="J90" s="31"/>
      <c r="K90" s="30">
        <f>ROUND((G90-I90),5)</f>
        <v>77.37</v>
      </c>
      <c r="L90" s="31"/>
      <c r="M90" s="32">
        <f>ROUND(IF(I90=0, IF(G90=0, 0, 1), G90/I90),5)</f>
        <v>1.1857</v>
      </c>
      <c r="N90" s="31"/>
      <c r="O90" s="30">
        <v>0</v>
      </c>
      <c r="P90" s="31"/>
      <c r="Q90" s="30">
        <v>416.67</v>
      </c>
      <c r="R90" s="31"/>
      <c r="S90" s="30">
        <f>ROUND((O90-Q90),5)</f>
        <v>-416.67</v>
      </c>
      <c r="T90" s="31"/>
      <c r="U90" s="32">
        <f>ROUND(IF(Q90=0, IF(O90=0, 0, 1), O90/Q90),5)</f>
        <v>0</v>
      </c>
      <c r="V90" s="31"/>
      <c r="W90" s="33">
        <v>403.81</v>
      </c>
      <c r="X90" s="33"/>
      <c r="Y90" s="33">
        <v>416.67</v>
      </c>
      <c r="Z90" s="33"/>
      <c r="AA90" s="33">
        <f>ROUND((W90-Y90),5)</f>
        <v>-12.86</v>
      </c>
      <c r="AB90" s="33"/>
      <c r="AC90" s="33"/>
      <c r="AD90" s="34">
        <v>2400</v>
      </c>
      <c r="AE90" s="34"/>
      <c r="AF90" s="49">
        <f>228.85+1696.01</f>
        <v>1924.86</v>
      </c>
      <c r="AG90" s="50"/>
      <c r="AH90" s="51">
        <v>6000</v>
      </c>
      <c r="AI90" s="51"/>
      <c r="AJ90" s="51">
        <v>-68.489999999999995</v>
      </c>
      <c r="AK90" s="51"/>
      <c r="AL90" s="51">
        <v>5000</v>
      </c>
      <c r="AM90" s="51"/>
      <c r="AN90" s="51">
        <v>13825.16</v>
      </c>
      <c r="AO90" s="51"/>
      <c r="AP90" s="51">
        <v>8254.0300000000007</v>
      </c>
      <c r="AQ90" s="51"/>
      <c r="AR90" s="51">
        <f>ROUND(I90+Q90+Y90,5)</f>
        <v>1249.97</v>
      </c>
      <c r="AS90" s="51">
        <f>AP90*2</f>
        <v>16508.060000000001</v>
      </c>
      <c r="AT90" s="51"/>
      <c r="AU90" s="53"/>
      <c r="AV90" s="54">
        <v>10000</v>
      </c>
      <c r="AW90" s="55"/>
      <c r="AX90" s="56">
        <f>AN90-AL90</f>
        <v>8825.16</v>
      </c>
      <c r="AY90" s="88"/>
      <c r="AZ90" s="89">
        <v>782.52</v>
      </c>
      <c r="BA90" s="54"/>
      <c r="BB90" s="114"/>
      <c r="BC90" s="60"/>
      <c r="BD90" s="54">
        <v>8890.6299999999992</v>
      </c>
      <c r="BE90" s="54"/>
      <c r="BF90" s="54"/>
      <c r="BG90" s="54">
        <v>10000</v>
      </c>
      <c r="BH90" s="54"/>
      <c r="BI90" s="57">
        <v>17626.38</v>
      </c>
      <c r="BJ90" s="54"/>
      <c r="BK90" s="54">
        <v>0</v>
      </c>
      <c r="BL90" s="54"/>
      <c r="BM90" s="58">
        <f>BK90-BG90</f>
        <v>-10000</v>
      </c>
      <c r="BN90" s="58"/>
      <c r="BO90" s="54">
        <v>0</v>
      </c>
      <c r="BP90" s="54"/>
      <c r="BQ90" s="66">
        <v>1692</v>
      </c>
      <c r="BR90" s="66"/>
      <c r="BS90" s="66">
        <f t="shared" si="49"/>
        <v>1692</v>
      </c>
      <c r="BT90" s="58"/>
      <c r="BU90" s="54">
        <v>5000</v>
      </c>
      <c r="BV90" s="58"/>
      <c r="BW90" s="58">
        <f t="shared" si="71"/>
        <v>5000</v>
      </c>
      <c r="BX90" s="58"/>
      <c r="BY90" s="91" t="s">
        <v>274</v>
      </c>
      <c r="BZ90" s="66">
        <v>680.6</v>
      </c>
      <c r="CA90" s="66"/>
      <c r="CB90" s="54">
        <v>3000</v>
      </c>
      <c r="CC90" s="54"/>
      <c r="CD90" s="54">
        <v>1987.6</v>
      </c>
      <c r="CE90" s="222"/>
      <c r="CF90" s="222">
        <v>3000</v>
      </c>
      <c r="CG90" s="60"/>
      <c r="CH90" s="61">
        <f t="shared" si="55"/>
        <v>0</v>
      </c>
      <c r="CI90" s="200"/>
      <c r="CJ90" s="301" t="s">
        <v>275</v>
      </c>
      <c r="CK90" s="346">
        <f t="shared" si="56"/>
        <v>250</v>
      </c>
    </row>
    <row r="91" spans="1:89" ht="14.25" customHeight="1" thickBot="1" x14ac:dyDescent="0.25">
      <c r="A91" s="4"/>
      <c r="B91" s="27"/>
      <c r="C91" s="133" t="s">
        <v>68</v>
      </c>
      <c r="D91" s="133"/>
      <c r="E91" s="134"/>
      <c r="F91" s="133"/>
      <c r="G91" s="158">
        <v>190.48</v>
      </c>
      <c r="H91" s="136"/>
      <c r="I91" s="158">
        <v>625</v>
      </c>
      <c r="J91" s="136"/>
      <c r="K91" s="158">
        <f t="shared" si="65"/>
        <v>-434.52</v>
      </c>
      <c r="L91" s="136"/>
      <c r="M91" s="159">
        <f t="shared" si="66"/>
        <v>0.30476999999999999</v>
      </c>
      <c r="N91" s="136"/>
      <c r="O91" s="158">
        <v>91.2</v>
      </c>
      <c r="P91" s="136"/>
      <c r="Q91" s="158">
        <v>625</v>
      </c>
      <c r="R91" s="136"/>
      <c r="S91" s="158">
        <f t="shared" si="67"/>
        <v>-533.79999999999995</v>
      </c>
      <c r="T91" s="136"/>
      <c r="U91" s="159">
        <f t="shared" si="68"/>
        <v>0.14591999999999999</v>
      </c>
      <c r="V91" s="136"/>
      <c r="W91" s="138">
        <v>115.75</v>
      </c>
      <c r="X91" s="138"/>
      <c r="Y91" s="138">
        <v>625</v>
      </c>
      <c r="Z91" s="138"/>
      <c r="AA91" s="138">
        <f t="shared" si="69"/>
        <v>-509.25</v>
      </c>
      <c r="AB91" s="138"/>
      <c r="AC91" s="138"/>
      <c r="AD91" s="138">
        <v>7500</v>
      </c>
      <c r="AE91" s="138"/>
      <c r="AF91" s="160">
        <v>6634.13</v>
      </c>
      <c r="AG91" s="161"/>
      <c r="AH91" s="162">
        <v>7500</v>
      </c>
      <c r="AI91" s="162"/>
      <c r="AJ91" s="162">
        <v>3020.56</v>
      </c>
      <c r="AK91" s="162"/>
      <c r="AL91" s="162">
        <v>7500</v>
      </c>
      <c r="AM91" s="162"/>
      <c r="AN91" s="162">
        <v>3147.71</v>
      </c>
      <c r="AO91" s="162"/>
      <c r="AP91" s="162">
        <v>2017.54</v>
      </c>
      <c r="AQ91" s="162"/>
      <c r="AR91" s="162">
        <f t="shared" si="70"/>
        <v>1875</v>
      </c>
      <c r="AS91" s="162">
        <f t="shared" ref="AS91:AS93" si="72">AP91*2</f>
        <v>4035.08</v>
      </c>
      <c r="AT91" s="162"/>
      <c r="AU91" s="163"/>
      <c r="AV91" s="93">
        <v>2000</v>
      </c>
      <c r="AW91" s="94"/>
      <c r="AX91" s="95">
        <f>AN91-AL91</f>
        <v>-4352.29</v>
      </c>
      <c r="AY91" s="96"/>
      <c r="AZ91" s="97">
        <v>1981.09</v>
      </c>
      <c r="BA91" s="93"/>
      <c r="BB91" s="117"/>
      <c r="BC91" s="123"/>
      <c r="BD91" s="93">
        <v>2929.43</v>
      </c>
      <c r="BE91" s="93"/>
      <c r="BF91" s="93"/>
      <c r="BG91" s="93">
        <v>2000</v>
      </c>
      <c r="BH91" s="93"/>
      <c r="BI91" s="100">
        <v>3864.35</v>
      </c>
      <c r="BJ91" s="93"/>
      <c r="BK91" s="93">
        <v>1900</v>
      </c>
      <c r="BL91" s="93"/>
      <c r="BM91" s="101">
        <f>BK91-BG91</f>
        <v>-100</v>
      </c>
      <c r="BN91" s="101"/>
      <c r="BO91" s="164">
        <v>942.95</v>
      </c>
      <c r="BP91" s="164"/>
      <c r="BQ91" s="102">
        <v>1475.94</v>
      </c>
      <c r="BR91" s="102"/>
      <c r="BS91" s="102">
        <f t="shared" si="49"/>
        <v>-424.05999999999995</v>
      </c>
      <c r="BT91" s="101"/>
      <c r="BU91" s="93">
        <v>1500</v>
      </c>
      <c r="BV91" s="101"/>
      <c r="BW91" s="101">
        <f t="shared" si="71"/>
        <v>-400</v>
      </c>
      <c r="BX91" s="165"/>
      <c r="BY91" s="91" t="s">
        <v>276</v>
      </c>
      <c r="BZ91" s="102">
        <v>1956.01</v>
      </c>
      <c r="CA91" s="102"/>
      <c r="CB91" s="93">
        <v>1500</v>
      </c>
      <c r="CC91" s="93"/>
      <c r="CD91" s="99">
        <v>1382.52</v>
      </c>
      <c r="CE91" s="82"/>
      <c r="CF91" s="82">
        <v>1500</v>
      </c>
      <c r="CG91" s="131"/>
      <c r="CH91" s="103">
        <f t="shared" si="55"/>
        <v>0</v>
      </c>
      <c r="CI91" s="129"/>
      <c r="CJ91" s="304" t="s">
        <v>204</v>
      </c>
      <c r="CK91" s="346">
        <f t="shared" si="56"/>
        <v>125</v>
      </c>
    </row>
    <row r="92" spans="1:89" ht="14.25" customHeight="1" thickBot="1" x14ac:dyDescent="0.25">
      <c r="A92" s="4"/>
      <c r="B92" s="27"/>
      <c r="C92" s="28" t="s">
        <v>91</v>
      </c>
      <c r="D92" s="28"/>
      <c r="E92" s="29"/>
      <c r="F92" s="28"/>
      <c r="G92" s="30">
        <v>401.46</v>
      </c>
      <c r="H92" s="31"/>
      <c r="I92" s="30">
        <v>541.63</v>
      </c>
      <c r="J92" s="31"/>
      <c r="K92" s="30">
        <f>ROUND((G92-I92),5)</f>
        <v>-140.16999999999999</v>
      </c>
      <c r="L92" s="31"/>
      <c r="M92" s="32">
        <f>ROUND(IF(I92=0, IF(G92=0, 0, 1), G92/I92),5)</f>
        <v>0.74121000000000004</v>
      </c>
      <c r="N92" s="31"/>
      <c r="O92" s="30">
        <v>0</v>
      </c>
      <c r="P92" s="31"/>
      <c r="Q92" s="30">
        <v>541.66999999999996</v>
      </c>
      <c r="R92" s="31"/>
      <c r="S92" s="30">
        <f>ROUND((O92-Q92),5)</f>
        <v>-541.66999999999996</v>
      </c>
      <c r="T92" s="31"/>
      <c r="U92" s="32">
        <f>ROUND(IF(Q92=0, IF(O92=0, 0, 1), O92/Q92),5)</f>
        <v>0</v>
      </c>
      <c r="V92" s="31"/>
      <c r="W92" s="33">
        <v>750</v>
      </c>
      <c r="X92" s="33"/>
      <c r="Y92" s="33">
        <v>541.66999999999996</v>
      </c>
      <c r="Z92" s="33"/>
      <c r="AA92" s="33">
        <f>ROUND((W92-Y92),5)</f>
        <v>208.33</v>
      </c>
      <c r="AB92" s="33"/>
      <c r="AC92" s="33"/>
      <c r="AD92" s="34">
        <v>4000</v>
      </c>
      <c r="AE92" s="34"/>
      <c r="AF92" s="49">
        <v>4576.6899999999996</v>
      </c>
      <c r="AG92" s="50"/>
      <c r="AH92" s="51">
        <v>4000</v>
      </c>
      <c r="AI92" s="51"/>
      <c r="AJ92" s="51">
        <v>4387.01</v>
      </c>
      <c r="AK92" s="51"/>
      <c r="AL92" s="51">
        <v>6500</v>
      </c>
      <c r="AM92" s="51"/>
      <c r="AN92" s="51">
        <v>7686.36</v>
      </c>
      <c r="AO92" s="51"/>
      <c r="AP92" s="51">
        <v>1959.19</v>
      </c>
      <c r="AQ92" s="51"/>
      <c r="AR92" s="51">
        <f>ROUND(I92+Q92+Y92,5)</f>
        <v>1624.97</v>
      </c>
      <c r="AS92" s="51">
        <f>AP92*2</f>
        <v>3918.38</v>
      </c>
      <c r="AT92" s="51"/>
      <c r="AU92" s="65"/>
      <c r="AV92" s="54">
        <v>6500</v>
      </c>
      <c r="AW92" s="55"/>
      <c r="AX92" s="56">
        <f>AN92-AL92</f>
        <v>1186.3599999999997</v>
      </c>
      <c r="AY92" s="88"/>
      <c r="AZ92" s="89">
        <v>2677.4</v>
      </c>
      <c r="BA92" s="54"/>
      <c r="BB92" s="54"/>
      <c r="BC92" s="60"/>
      <c r="BD92" s="54">
        <v>6173.28</v>
      </c>
      <c r="BE92" s="54"/>
      <c r="BF92" s="54"/>
      <c r="BG92" s="54">
        <v>6500</v>
      </c>
      <c r="BH92" s="54"/>
      <c r="BI92" s="57">
        <v>7317.79</v>
      </c>
      <c r="BJ92" s="54"/>
      <c r="BK92" s="54">
        <v>8000</v>
      </c>
      <c r="BL92" s="54"/>
      <c r="BM92" s="58">
        <f>BK92-AV92</f>
        <v>1500</v>
      </c>
      <c r="BN92" s="58"/>
      <c r="BO92" s="54">
        <v>3999.98</v>
      </c>
      <c r="BP92" s="54"/>
      <c r="BQ92" s="66">
        <v>7784.09</v>
      </c>
      <c r="BR92" s="66"/>
      <c r="BS92" s="66">
        <f>BQ92-BK92</f>
        <v>-215.90999999999985</v>
      </c>
      <c r="BT92" s="58"/>
      <c r="BU92" s="54">
        <v>7500</v>
      </c>
      <c r="BV92" s="58"/>
      <c r="BW92" s="58">
        <f>BU92-BK92</f>
        <v>-500</v>
      </c>
      <c r="BX92" s="58"/>
      <c r="BY92" s="90" t="s">
        <v>204</v>
      </c>
      <c r="BZ92" s="66">
        <v>11565.22</v>
      </c>
      <c r="CA92" s="66"/>
      <c r="CB92" s="54">
        <v>7500</v>
      </c>
      <c r="CC92" s="54"/>
      <c r="CD92" s="54">
        <v>6613.08</v>
      </c>
      <c r="CE92" s="104"/>
      <c r="CF92" s="104">
        <v>7500</v>
      </c>
      <c r="CG92" s="132"/>
      <c r="CH92" s="200">
        <f>CF92-CB92</f>
        <v>0</v>
      </c>
      <c r="CI92" s="200"/>
      <c r="CJ92" s="295" t="s">
        <v>204</v>
      </c>
      <c r="CK92" s="346">
        <f>CF92/12</f>
        <v>625</v>
      </c>
    </row>
    <row r="93" spans="1:89" ht="18.75" customHeight="1" thickBot="1" x14ac:dyDescent="0.25">
      <c r="A93" s="4"/>
      <c r="B93" s="347" t="s">
        <v>69</v>
      </c>
      <c r="C93" s="348"/>
      <c r="D93" s="348"/>
      <c r="E93" s="348"/>
      <c r="F93" s="348"/>
      <c r="G93" s="30">
        <f>ROUND(SUM(G34:G36)+SUM(G39:G40)+SUM(G79:G90)+SUM(G86:G91),5)</f>
        <v>47203.7</v>
      </c>
      <c r="H93" s="31"/>
      <c r="I93" s="30">
        <f>ROUND(SUM(I34:I36)+SUM(I39:I40)+SUM(I79:I90)+SUM(I86:I91),5)</f>
        <v>49133.04</v>
      </c>
      <c r="J93" s="31"/>
      <c r="K93" s="30">
        <f t="shared" si="65"/>
        <v>-1929.34</v>
      </c>
      <c r="L93" s="31"/>
      <c r="M93" s="32">
        <f t="shared" si="66"/>
        <v>0.96072999999999997</v>
      </c>
      <c r="N93" s="31"/>
      <c r="O93" s="30">
        <f>ROUND(SUM(O34:O36)+SUM(O39:O40)+SUM(O79:O90)+SUM(O86:O91),5)</f>
        <v>48926.36</v>
      </c>
      <c r="P93" s="31"/>
      <c r="Q93" s="30">
        <f>ROUND(SUM(Q34:Q36)+SUM(Q39:Q40)+SUM(Q79:Q90)+SUM(Q86:Q91),5)</f>
        <v>49133.36</v>
      </c>
      <c r="R93" s="31"/>
      <c r="S93" s="30">
        <f t="shared" si="67"/>
        <v>-207</v>
      </c>
      <c r="T93" s="31"/>
      <c r="U93" s="32">
        <f t="shared" si="68"/>
        <v>0.99578999999999995</v>
      </c>
      <c r="V93" s="31"/>
      <c r="W93" s="76">
        <f>W91+W88+W87+W86+W90+W27+W82+W81+W21+W16+W80+W79+W40+W39+W36+W35</f>
        <v>63560.5</v>
      </c>
      <c r="X93" s="76"/>
      <c r="Y93" s="76">
        <f>Y91+Y88+Y87+Y86+Y90+Y27+Y82+Y81+Y21+Y16+Y80+Y79+Y40+Y39+Y36+Y35</f>
        <v>50516.7</v>
      </c>
      <c r="Z93" s="76"/>
      <c r="AA93" s="76">
        <f t="shared" si="69"/>
        <v>13043.8</v>
      </c>
      <c r="AB93" s="76"/>
      <c r="AC93" s="76"/>
      <c r="AD93" s="77">
        <f>AD91+AD88+AD87+AD86+AD90+AD27+AD82+AD81+AD21+AD16+AD80+AD79+AD40+AD39+AD36+AD35</f>
        <v>767136.77</v>
      </c>
      <c r="AE93" s="77"/>
      <c r="AF93" s="150">
        <f>AF91+AF88+AF87+AF86+AF90+AF27+AF82+AF81+AF21+AF16+AF80+AF79+AF40+AF39+AF36+AF35</f>
        <v>750712.31999999995</v>
      </c>
      <c r="AG93" s="151"/>
      <c r="AH93" s="152">
        <f>AH91+AH88+AH87+AH86+AH90+AH27+AH82+AH81+AH21+AH16+AH80+AH79+AH39+AH40+AH36+AH35</f>
        <v>738000</v>
      </c>
      <c r="AI93" s="152"/>
      <c r="AJ93" s="152">
        <v>630893.22</v>
      </c>
      <c r="AK93" s="152"/>
      <c r="AL93" s="152">
        <f>AL91+AL88+AL87+AL86+AL90+AL27+AL82+AL81+AL21+AL16+AL80+AL79+AL39+AL40+AL36+AL35</f>
        <v>741800</v>
      </c>
      <c r="AM93" s="152"/>
      <c r="AN93" s="152">
        <f>AN91+AN88+AN87+AN86+AN90+AN27+AN82+AN81+AN21+AN16+AN80+AN79+AN39+AN40+AN36+AN35</f>
        <v>669517.23999999987</v>
      </c>
      <c r="AO93" s="152"/>
      <c r="AP93" s="152">
        <f>AP91+AP88+AP87+AP86+AP90+AP27+AP82+AP81+AP21+AP16+AP80+AP79+AP40+AP39+AP36+AP35</f>
        <v>259302.56</v>
      </c>
      <c r="AQ93" s="152"/>
      <c r="AR93" s="152">
        <f>AR91+AR88+AR87+AR86+AR90+AR27+AR82+AR81+AR21+AR16+AR80+AR79+AR40+AR39+AR36+AR35</f>
        <v>140449.70000000001</v>
      </c>
      <c r="AS93" s="152">
        <f t="shared" si="72"/>
        <v>518605.12</v>
      </c>
      <c r="AT93" s="152"/>
      <c r="AU93" s="166"/>
      <c r="AV93" s="167">
        <f>AV91+AV88+AV87+AV86+AV90+AV82+AV81+AV16+AV80+AV79+AV39+AV40+AV36+AV35+AV89+AV17</f>
        <v>680500</v>
      </c>
      <c r="AW93" s="168"/>
      <c r="AX93" s="169">
        <f>AN93-AL93</f>
        <v>-72282.760000000126</v>
      </c>
      <c r="AY93" s="169"/>
      <c r="AZ93" s="167">
        <f>AZ91+AZ88+AZ87+AZ86+AZ90+AZ27+AZ82+AZ81+AZ21+AZ16+AZ80+AZ79+AZ39+AZ40+AZ36+AZ35+AZ28+AZ89</f>
        <v>200554.36</v>
      </c>
      <c r="BA93" s="167"/>
      <c r="BB93" s="170"/>
      <c r="BC93" s="98"/>
      <c r="BD93" s="171">
        <f>BD91+BD88+BD87+BD86+BD90+BD82+BD81+BD16+BD80+BD79+BD39+BD40+BD36+BD35+BD89+BD17</f>
        <v>653621.83000000007</v>
      </c>
      <c r="BE93" s="104">
        <f>BE91+BE88+BE87+BE86+BE90+BE82+BE81+BE16+BE80+BE79+BE39+BE40+BE36+BE35+BE89</f>
        <v>0</v>
      </c>
      <c r="BF93" s="104">
        <f>BF91+BF88+BF87+BF86+BF90+BF82+BF81+BF16+BF80+BF79+BF39+BF40+BF36+BF35+BF89</f>
        <v>0</v>
      </c>
      <c r="BG93" s="104">
        <f>BG91+BG88+BG87+BG86+BG90+BG82+BG81+BG16+BG80+BG79+BG39+BG40+BG36+BG35+BG89+BG17</f>
        <v>653100</v>
      </c>
      <c r="BH93" s="104"/>
      <c r="BI93" s="104">
        <f>BI91+BI88+BI87+BI86+BI90+BI82+BI81+BI16+BI80+BI79+BI39+BI40+BI36+BI35+BI89+BI17</f>
        <v>683383.05</v>
      </c>
      <c r="BJ93" s="104"/>
      <c r="BK93" s="104">
        <f>BK91+BK88+BK87+BK86+BK82+BK81+BK80+BK79+BK39+BK36+BK35+BK40+BK90</f>
        <v>582065.41999999993</v>
      </c>
      <c r="BL93" s="104"/>
      <c r="BM93" s="108">
        <f>BK93-BG93</f>
        <v>-71034.580000000075</v>
      </c>
      <c r="BN93" s="108"/>
      <c r="BO93" s="104">
        <f>BO91+BO88+BO87+BO86+BO82+BO81+BO80+BO79+BO39+BO36+BO35+BO40+BO90</f>
        <v>203819.53000000003</v>
      </c>
      <c r="BP93" s="104"/>
      <c r="BQ93" s="104">
        <f>BQ91+BQ88+BQ87+BQ86+BQ82+BQ81+BQ80+BQ79+BQ39+BQ36+BQ35+BQ40+BQ90</f>
        <v>621728.73</v>
      </c>
      <c r="BR93" s="109"/>
      <c r="BS93" s="172">
        <f>BS91+BS88+BS87+BS86+BS82+BS81+BS80+BS79+BS39+BS36+BS35+BS40+BS90</f>
        <v>39663.310000000034</v>
      </c>
      <c r="BT93" s="108"/>
      <c r="BU93" s="104">
        <f>BU91+BU88+BU87+BU86+BU82+BU81+BU80+BU79+BU39+BU36+BU35+BU40+BU90</f>
        <v>630450</v>
      </c>
      <c r="BV93" s="108"/>
      <c r="BW93" s="108">
        <f t="shared" si="71"/>
        <v>48384.580000000075</v>
      </c>
      <c r="BX93" s="84"/>
      <c r="BY93" s="86"/>
      <c r="BZ93" s="104">
        <f>BZ91+BZ88+BZ87+BZ86+BZ82+BZ81+BZ80+BZ79+BZ39+BZ36+BZ35+BZ40+BZ90</f>
        <v>658774.55000000005</v>
      </c>
      <c r="CA93" s="104"/>
      <c r="CB93" s="104">
        <f>CB91+CB88+CB87+CB86+CB82+CB81+CB80+CB79+CB39+CB36+CB35+CB40+CB90</f>
        <v>625950</v>
      </c>
      <c r="CC93" s="104"/>
      <c r="CD93" s="104">
        <f>CD91+CD88+CD87+CD86+CD82+CD81+CD80+CD79+CD39+CD36+CD35+CD40+CD90</f>
        <v>591971.38</v>
      </c>
      <c r="CE93" s="104"/>
      <c r="CF93" s="104">
        <f>CF91+CF88+CF87+CF86+CF82+CF81+CF80+CF79+CF39+CF36+CF35+CF40+CF90+CF92</f>
        <v>658250</v>
      </c>
      <c r="CG93" s="107"/>
      <c r="CH93" s="103">
        <f t="shared" si="55"/>
        <v>32300</v>
      </c>
      <c r="CI93" s="96"/>
      <c r="CJ93" s="305"/>
      <c r="CK93" s="346">
        <f t="shared" si="56"/>
        <v>54854.166666666664</v>
      </c>
    </row>
    <row r="94" spans="1:89" ht="14.25" customHeight="1" x14ac:dyDescent="0.2">
      <c r="A94" s="4"/>
      <c r="B94" s="355" t="s">
        <v>326</v>
      </c>
      <c r="C94" s="354"/>
      <c r="D94" s="354"/>
      <c r="E94" s="354"/>
      <c r="F94" s="354"/>
      <c r="G94" s="119"/>
      <c r="H94" s="120"/>
      <c r="I94" s="119"/>
      <c r="J94" s="120"/>
      <c r="K94" s="119"/>
      <c r="L94" s="120"/>
      <c r="M94" s="121"/>
      <c r="N94" s="120"/>
      <c r="O94" s="119"/>
      <c r="P94" s="120"/>
      <c r="Q94" s="119"/>
      <c r="R94" s="120"/>
      <c r="S94" s="119"/>
      <c r="T94" s="120"/>
      <c r="U94" s="121"/>
      <c r="V94" s="120"/>
      <c r="W94" s="34"/>
      <c r="X94" s="34"/>
      <c r="Y94" s="34"/>
      <c r="Z94" s="34"/>
      <c r="AA94" s="34"/>
      <c r="AB94" s="34"/>
      <c r="AC94" s="34"/>
      <c r="AD94" s="34"/>
      <c r="AE94" s="34"/>
      <c r="AF94" s="39"/>
      <c r="AG94" s="40"/>
      <c r="AH94" s="79"/>
      <c r="AI94" s="79"/>
      <c r="AJ94" s="79"/>
      <c r="AK94" s="79"/>
      <c r="AL94" s="79"/>
      <c r="AM94" s="79"/>
      <c r="AN94" s="79"/>
      <c r="AO94" s="79"/>
      <c r="AP94" s="79"/>
      <c r="AQ94" s="79"/>
      <c r="AR94" s="79"/>
      <c r="AS94" s="79"/>
      <c r="AT94" s="79"/>
      <c r="AU94" s="80"/>
      <c r="AV94" s="79"/>
      <c r="AW94" s="80"/>
      <c r="AX94" s="81"/>
      <c r="AY94" s="81"/>
      <c r="AZ94" s="79"/>
      <c r="BA94" s="79"/>
      <c r="BB94" s="79"/>
      <c r="BC94" s="83"/>
      <c r="BD94" s="79"/>
      <c r="BE94" s="79"/>
      <c r="BF94" s="79"/>
      <c r="BG94" s="79"/>
      <c r="BH94" s="79"/>
      <c r="BI94" s="79"/>
      <c r="BJ94" s="79"/>
      <c r="BK94" s="79"/>
      <c r="BL94" s="79"/>
      <c r="BM94" s="84"/>
      <c r="BN94" s="84"/>
      <c r="BO94" s="79"/>
      <c r="BP94" s="79"/>
      <c r="BQ94" s="85"/>
      <c r="BR94" s="85"/>
      <c r="BS94" s="85"/>
      <c r="BT94" s="84"/>
      <c r="BU94" s="79"/>
      <c r="BV94" s="84"/>
      <c r="BW94" s="84"/>
      <c r="BX94" s="58"/>
      <c r="BY94" s="91"/>
      <c r="BZ94" s="85"/>
      <c r="CA94" s="85"/>
      <c r="CB94" s="79"/>
      <c r="CC94" s="79"/>
      <c r="CD94" s="79"/>
      <c r="CE94" s="79"/>
      <c r="CF94" s="79"/>
      <c r="CG94" s="83"/>
      <c r="CH94" s="112"/>
      <c r="CI94" s="199"/>
      <c r="CJ94" s="299"/>
      <c r="CK94" s="346">
        <f t="shared" si="56"/>
        <v>0</v>
      </c>
    </row>
    <row r="95" spans="1:89" ht="14.25" customHeight="1" x14ac:dyDescent="0.2">
      <c r="A95" s="4"/>
      <c r="B95" s="344"/>
      <c r="C95" s="343"/>
      <c r="D95" s="343" t="s">
        <v>324</v>
      </c>
      <c r="E95" s="343"/>
      <c r="F95" s="343"/>
      <c r="G95" s="119"/>
      <c r="H95" s="120"/>
      <c r="I95" s="119"/>
      <c r="J95" s="120"/>
      <c r="K95" s="119"/>
      <c r="L95" s="120"/>
      <c r="M95" s="121"/>
      <c r="N95" s="120"/>
      <c r="O95" s="119"/>
      <c r="P95" s="120"/>
      <c r="Q95" s="119"/>
      <c r="R95" s="120"/>
      <c r="S95" s="119"/>
      <c r="T95" s="120"/>
      <c r="U95" s="121"/>
      <c r="V95" s="120"/>
      <c r="W95" s="34"/>
      <c r="X95" s="34"/>
      <c r="Y95" s="34"/>
      <c r="Z95" s="34"/>
      <c r="AA95" s="34"/>
      <c r="AB95" s="34"/>
      <c r="AC95" s="34"/>
      <c r="AD95" s="34"/>
      <c r="AE95" s="34"/>
      <c r="AF95" s="39"/>
      <c r="AG95" s="40"/>
      <c r="AH95" s="79"/>
      <c r="AI95" s="79"/>
      <c r="AJ95" s="79"/>
      <c r="AK95" s="79"/>
      <c r="AL95" s="79"/>
      <c r="AM95" s="79"/>
      <c r="AN95" s="79"/>
      <c r="AO95" s="79"/>
      <c r="AP95" s="79"/>
      <c r="AQ95" s="79"/>
      <c r="AR95" s="79"/>
      <c r="AS95" s="79"/>
      <c r="AT95" s="79"/>
      <c r="AU95" s="80"/>
      <c r="AV95" s="79"/>
      <c r="AW95" s="80"/>
      <c r="AX95" s="81"/>
      <c r="AY95" s="88"/>
      <c r="AZ95" s="82"/>
      <c r="BA95" s="79"/>
      <c r="BB95" s="79"/>
      <c r="BC95" s="83"/>
      <c r="BD95" s="79"/>
      <c r="BE95" s="79"/>
      <c r="BF95" s="79"/>
      <c r="BG95" s="79"/>
      <c r="BH95" s="79"/>
      <c r="BI95" s="79"/>
      <c r="BJ95" s="79"/>
      <c r="BK95" s="79"/>
      <c r="BL95" s="79"/>
      <c r="BM95" s="84"/>
      <c r="BN95" s="84"/>
      <c r="BO95" s="79"/>
      <c r="BP95" s="79"/>
      <c r="BQ95" s="85"/>
      <c r="BR95" s="85"/>
      <c r="BS95" s="85"/>
      <c r="BT95" s="84"/>
      <c r="BU95" s="79"/>
      <c r="BV95" s="84"/>
      <c r="BW95" s="84"/>
      <c r="BX95" s="58"/>
      <c r="BY95" s="91"/>
      <c r="BZ95" s="85"/>
      <c r="CA95" s="85"/>
      <c r="CB95" s="79"/>
      <c r="CC95" s="79"/>
      <c r="CD95" s="79"/>
      <c r="CE95" s="79"/>
      <c r="CF95" s="79">
        <v>3300</v>
      </c>
      <c r="CG95" s="83"/>
      <c r="CH95" s="112"/>
      <c r="CI95" s="199"/>
      <c r="CJ95" s="299"/>
      <c r="CK95" s="346"/>
    </row>
    <row r="96" spans="1:89" ht="14.25" customHeight="1" x14ac:dyDescent="0.2">
      <c r="A96" s="4"/>
      <c r="B96" s="330"/>
      <c r="C96" s="329"/>
      <c r="D96" s="329" t="s">
        <v>323</v>
      </c>
      <c r="E96" s="329"/>
      <c r="F96" s="329"/>
      <c r="G96" s="119"/>
      <c r="H96" s="120"/>
      <c r="I96" s="119"/>
      <c r="J96" s="120"/>
      <c r="K96" s="119"/>
      <c r="L96" s="120"/>
      <c r="M96" s="121"/>
      <c r="N96" s="120"/>
      <c r="O96" s="119"/>
      <c r="P96" s="120"/>
      <c r="Q96" s="119"/>
      <c r="R96" s="120"/>
      <c r="S96" s="119"/>
      <c r="T96" s="120"/>
      <c r="U96" s="121"/>
      <c r="V96" s="120"/>
      <c r="W96" s="34"/>
      <c r="X96" s="34"/>
      <c r="Y96" s="34"/>
      <c r="Z96" s="34"/>
      <c r="AA96" s="34"/>
      <c r="AB96" s="34"/>
      <c r="AC96" s="34"/>
      <c r="AD96" s="34"/>
      <c r="AE96" s="34"/>
      <c r="AF96" s="39"/>
      <c r="AG96" s="40"/>
      <c r="AH96" s="79"/>
      <c r="AI96" s="79"/>
      <c r="AJ96" s="79"/>
      <c r="AK96" s="79"/>
      <c r="AL96" s="79"/>
      <c r="AM96" s="79"/>
      <c r="AN96" s="79"/>
      <c r="AO96" s="79"/>
      <c r="AP96" s="79"/>
      <c r="AQ96" s="79"/>
      <c r="AR96" s="79"/>
      <c r="AS96" s="79"/>
      <c r="AT96" s="79"/>
      <c r="AU96" s="80"/>
      <c r="AV96" s="79"/>
      <c r="AW96" s="80"/>
      <c r="AX96" s="81"/>
      <c r="AY96" s="88"/>
      <c r="AZ96" s="82"/>
      <c r="BA96" s="79"/>
      <c r="BB96" s="79"/>
      <c r="BC96" s="83"/>
      <c r="BD96" s="79"/>
      <c r="BE96" s="79"/>
      <c r="BF96" s="79"/>
      <c r="BG96" s="79"/>
      <c r="BH96" s="79"/>
      <c r="BI96" s="79"/>
      <c r="BJ96" s="79"/>
      <c r="BK96" s="79"/>
      <c r="BL96" s="79"/>
      <c r="BM96" s="84"/>
      <c r="BN96" s="84"/>
      <c r="BO96" s="79"/>
      <c r="BP96" s="79"/>
      <c r="BQ96" s="85"/>
      <c r="BR96" s="85"/>
      <c r="BS96" s="85"/>
      <c r="BT96" s="84"/>
      <c r="BU96" s="79"/>
      <c r="BV96" s="84"/>
      <c r="BW96" s="84"/>
      <c r="BX96" s="58"/>
      <c r="BY96" s="91"/>
      <c r="BZ96" s="85"/>
      <c r="CA96" s="85"/>
      <c r="CB96" s="79"/>
      <c r="CC96" s="79"/>
      <c r="CD96" s="79"/>
      <c r="CE96" s="79"/>
      <c r="CF96" s="79">
        <f>1500+2000+3000+2000</f>
        <v>8500</v>
      </c>
      <c r="CG96" s="83"/>
      <c r="CH96" s="112"/>
      <c r="CI96" s="199"/>
      <c r="CJ96" s="299"/>
      <c r="CK96" s="346">
        <f t="shared" si="56"/>
        <v>708.33333333333337</v>
      </c>
    </row>
    <row r="97" spans="1:89" ht="15.75" customHeight="1" x14ac:dyDescent="0.2">
      <c r="A97" s="4"/>
      <c r="B97" s="201"/>
      <c r="C97" s="133"/>
      <c r="D97" s="133" t="s">
        <v>79</v>
      </c>
      <c r="E97" s="134"/>
      <c r="F97" s="133"/>
      <c r="G97" s="119"/>
      <c r="H97" s="120"/>
      <c r="I97" s="119"/>
      <c r="J97" s="120"/>
      <c r="K97" s="119"/>
      <c r="L97" s="120"/>
      <c r="M97" s="121"/>
      <c r="N97" s="120"/>
      <c r="O97" s="119"/>
      <c r="P97" s="120"/>
      <c r="Q97" s="119"/>
      <c r="R97" s="120"/>
      <c r="S97" s="119"/>
      <c r="T97" s="120"/>
      <c r="U97" s="121"/>
      <c r="V97" s="120"/>
      <c r="W97" s="34"/>
      <c r="X97" s="34"/>
      <c r="Y97" s="34"/>
      <c r="Z97" s="34"/>
      <c r="AA97" s="34"/>
      <c r="AB97" s="34"/>
      <c r="AC97" s="34"/>
      <c r="AD97" s="34"/>
      <c r="AE97" s="34"/>
      <c r="AF97" s="49"/>
      <c r="AG97" s="50"/>
      <c r="AH97" s="54"/>
      <c r="AI97" s="54"/>
      <c r="AJ97" s="54"/>
      <c r="AK97" s="54"/>
      <c r="AL97" s="54"/>
      <c r="AM97" s="54"/>
      <c r="AN97" s="54"/>
      <c r="AO97" s="54"/>
      <c r="AP97" s="54"/>
      <c r="AQ97" s="54"/>
      <c r="AR97" s="54"/>
      <c r="AS97" s="54"/>
      <c r="AT97" s="54"/>
      <c r="AU97" s="55"/>
      <c r="AV97" s="54"/>
      <c r="AW97" s="55"/>
      <c r="AX97" s="56">
        <f t="shared" ref="AX97:AX158" si="73">AN97-AL97</f>
        <v>0</v>
      </c>
      <c r="AY97" s="88"/>
      <c r="AZ97" s="89"/>
      <c r="BA97" s="54"/>
      <c r="BB97" s="54"/>
      <c r="BC97" s="60"/>
      <c r="BD97" s="54"/>
      <c r="BE97" s="54"/>
      <c r="BF97" s="54"/>
      <c r="BG97" s="54"/>
      <c r="BH97" s="54"/>
      <c r="BI97" s="54"/>
      <c r="BJ97" s="54"/>
      <c r="BK97" s="54"/>
      <c r="BL97" s="54"/>
      <c r="BM97" s="58"/>
      <c r="BN97" s="58"/>
      <c r="BO97" s="54"/>
      <c r="BP97" s="54"/>
      <c r="BQ97" s="66"/>
      <c r="BR97" s="66"/>
      <c r="BS97" s="66"/>
      <c r="BT97" s="58"/>
      <c r="BU97" s="54"/>
      <c r="BV97" s="58"/>
      <c r="BW97" s="58"/>
      <c r="BX97" s="58"/>
      <c r="BY97" s="91"/>
      <c r="BZ97" s="66"/>
      <c r="CA97" s="66"/>
      <c r="CB97" s="54"/>
      <c r="CC97" s="54"/>
      <c r="CD97" s="54"/>
      <c r="CE97" s="54"/>
      <c r="CF97" s="54"/>
      <c r="CG97" s="60"/>
      <c r="CH97" s="61"/>
      <c r="CI97" s="200"/>
      <c r="CJ97" s="294"/>
      <c r="CK97" s="346">
        <f t="shared" si="56"/>
        <v>0</v>
      </c>
    </row>
    <row r="98" spans="1:89" ht="15.75" customHeight="1" x14ac:dyDescent="0.2">
      <c r="A98" s="4"/>
      <c r="B98" s="201"/>
      <c r="C98" s="133"/>
      <c r="D98" s="133"/>
      <c r="E98" s="351" t="s">
        <v>319</v>
      </c>
      <c r="F98" s="351"/>
      <c r="G98" s="119">
        <v>642</v>
      </c>
      <c r="H98" s="120"/>
      <c r="I98" s="119">
        <v>458.37</v>
      </c>
      <c r="J98" s="120"/>
      <c r="K98" s="119">
        <f>ROUND((G98-I98),5)</f>
        <v>183.63</v>
      </c>
      <c r="L98" s="120"/>
      <c r="M98" s="121">
        <f>ROUND(IF(I98=0, IF(G98=0, 0, 1), G98/I98),5)</f>
        <v>1.40062</v>
      </c>
      <c r="N98" s="120"/>
      <c r="O98" s="119">
        <v>83</v>
      </c>
      <c r="P98" s="120"/>
      <c r="Q98" s="119">
        <v>458.33</v>
      </c>
      <c r="R98" s="120"/>
      <c r="S98" s="119">
        <f>ROUND((O98-Q98),5)</f>
        <v>-375.33</v>
      </c>
      <c r="T98" s="120"/>
      <c r="U98" s="121">
        <f>ROUND(IF(Q98=0, IF(O98=0, 0, 1), O98/Q98),5)</f>
        <v>0.18109</v>
      </c>
      <c r="V98" s="120"/>
      <c r="W98" s="34">
        <v>221</v>
      </c>
      <c r="X98" s="34"/>
      <c r="Y98" s="34">
        <v>458.33</v>
      </c>
      <c r="Z98" s="34"/>
      <c r="AA98" s="34">
        <f>ROUND((W98-Y98),5)</f>
        <v>-237.33</v>
      </c>
      <c r="AB98" s="34"/>
      <c r="AC98" s="34"/>
      <c r="AD98" s="34"/>
      <c r="AE98" s="34"/>
      <c r="AF98" s="49"/>
      <c r="AG98" s="50"/>
      <c r="AH98" s="54"/>
      <c r="AI98" s="54"/>
      <c r="AJ98" s="54">
        <v>5210.71</v>
      </c>
      <c r="AK98" s="54"/>
      <c r="AL98" s="54">
        <v>5500</v>
      </c>
      <c r="AM98" s="54"/>
      <c r="AN98" s="54">
        <v>6830.02</v>
      </c>
      <c r="AO98" s="54"/>
      <c r="AP98" s="54">
        <v>2285</v>
      </c>
      <c r="AQ98" s="54"/>
      <c r="AR98" s="54">
        <f>ROUND(I98+Q98+Y98,5)</f>
        <v>1375.03</v>
      </c>
      <c r="AS98" s="54">
        <f t="shared" ref="AS98:AS100" si="74">AP98*2</f>
        <v>4570</v>
      </c>
      <c r="AT98" s="54"/>
      <c r="AU98" s="55"/>
      <c r="AV98" s="54">
        <v>5500</v>
      </c>
      <c r="AW98" s="55"/>
      <c r="AX98" s="56">
        <f t="shared" si="73"/>
        <v>1330.0200000000004</v>
      </c>
      <c r="AY98" s="88"/>
      <c r="AZ98" s="89">
        <v>3363.88</v>
      </c>
      <c r="BA98" s="54"/>
      <c r="BB98" s="54"/>
      <c r="BC98" s="60"/>
      <c r="BD98" s="54">
        <v>6643.59</v>
      </c>
      <c r="BE98" s="54"/>
      <c r="BF98" s="54"/>
      <c r="BG98" s="54">
        <v>8000</v>
      </c>
      <c r="BH98" s="54"/>
      <c r="BI98" s="57">
        <v>9576.01</v>
      </c>
      <c r="BJ98" s="54"/>
      <c r="BK98" s="54">
        <v>8000</v>
      </c>
      <c r="BL98" s="54"/>
      <c r="BM98" s="58">
        <f>BK98-BG98</f>
        <v>0</v>
      </c>
      <c r="BN98" s="58"/>
      <c r="BO98" s="54">
        <v>7657.35</v>
      </c>
      <c r="BP98" s="54"/>
      <c r="BQ98" s="66">
        <v>12397.94</v>
      </c>
      <c r="BR98" s="66"/>
      <c r="BS98" s="66">
        <f t="shared" si="49"/>
        <v>4397.9400000000005</v>
      </c>
      <c r="BT98" s="58"/>
      <c r="BU98" s="54">
        <v>8000</v>
      </c>
      <c r="BV98" s="58"/>
      <c r="BW98" s="58">
        <f t="shared" si="71"/>
        <v>0</v>
      </c>
      <c r="BX98" s="58"/>
      <c r="BY98" s="90" t="s">
        <v>204</v>
      </c>
      <c r="BZ98" s="66">
        <v>7736.21</v>
      </c>
      <c r="CA98" s="66"/>
      <c r="CB98" s="54">
        <v>8000</v>
      </c>
      <c r="CC98" s="54"/>
      <c r="CD98" s="54">
        <v>351.54</v>
      </c>
      <c r="CE98" s="54"/>
      <c r="CF98" s="54">
        <v>23000</v>
      </c>
      <c r="CG98" s="60"/>
      <c r="CH98" s="61">
        <f>CF98-CB98</f>
        <v>15000</v>
      </c>
      <c r="CI98" s="200"/>
      <c r="CJ98" s="295" t="s">
        <v>204</v>
      </c>
      <c r="CK98" s="346">
        <f t="shared" si="56"/>
        <v>1916.6666666666667</v>
      </c>
    </row>
    <row r="99" spans="1:89" ht="16.5" customHeight="1" thickBot="1" x14ac:dyDescent="0.25">
      <c r="A99" s="4"/>
      <c r="B99" s="201"/>
      <c r="C99" s="133"/>
      <c r="D99" s="133"/>
      <c r="E99" s="351" t="s">
        <v>83</v>
      </c>
      <c r="F99" s="351"/>
      <c r="G99" s="119">
        <v>0</v>
      </c>
      <c r="H99" s="120"/>
      <c r="I99" s="119">
        <v>2916.63</v>
      </c>
      <c r="J99" s="120"/>
      <c r="K99" s="119">
        <f>ROUND((G99-I99),5)</f>
        <v>-2916.63</v>
      </c>
      <c r="L99" s="120"/>
      <c r="M99" s="121">
        <f>ROUND(IF(I99=0, IF(G99=0, 0, 1), G99/I99),5)</f>
        <v>0</v>
      </c>
      <c r="N99" s="120"/>
      <c r="O99" s="119">
        <v>0</v>
      </c>
      <c r="P99" s="120"/>
      <c r="Q99" s="119">
        <v>2916.67</v>
      </c>
      <c r="R99" s="120"/>
      <c r="S99" s="119">
        <f>ROUND((O99-Q99),5)</f>
        <v>-2916.67</v>
      </c>
      <c r="T99" s="120"/>
      <c r="U99" s="121">
        <f>ROUND(IF(Q99=0, IF(O99=0, 0, 1), O99/Q99),5)</f>
        <v>0</v>
      </c>
      <c r="V99" s="120"/>
      <c r="W99" s="34">
        <f>600+3704</f>
        <v>4304</v>
      </c>
      <c r="X99" s="34"/>
      <c r="Y99" s="34">
        <v>2916.67</v>
      </c>
      <c r="Z99" s="34"/>
      <c r="AA99" s="34">
        <f>ROUND((W99-Y99),5)</f>
        <v>1387.33</v>
      </c>
      <c r="AB99" s="34"/>
      <c r="AC99" s="34"/>
      <c r="AD99" s="34"/>
      <c r="AE99" s="34"/>
      <c r="AF99" s="71"/>
      <c r="AG99" s="72"/>
      <c r="AH99" s="93"/>
      <c r="AI99" s="93"/>
      <c r="AJ99" s="93">
        <v>10309.530000000001</v>
      </c>
      <c r="AK99" s="93"/>
      <c r="AL99" s="93">
        <v>35000</v>
      </c>
      <c r="AM99" s="93"/>
      <c r="AN99" s="93">
        <v>6799</v>
      </c>
      <c r="AO99" s="93"/>
      <c r="AP99" s="93">
        <v>3599</v>
      </c>
      <c r="AQ99" s="93"/>
      <c r="AR99" s="93">
        <f>ROUND(I99+Q99+Y99,5)</f>
        <v>8749.9699999999993</v>
      </c>
      <c r="AS99" s="93">
        <f t="shared" si="74"/>
        <v>7198</v>
      </c>
      <c r="AT99" s="93"/>
      <c r="AU99" s="94"/>
      <c r="AV99" s="93">
        <v>35000</v>
      </c>
      <c r="AW99" s="94"/>
      <c r="AX99" s="95">
        <f t="shared" si="73"/>
        <v>-28201</v>
      </c>
      <c r="AY99" s="106"/>
      <c r="AZ99" s="173">
        <v>2570.3000000000002</v>
      </c>
      <c r="BA99" s="93"/>
      <c r="BB99" s="93"/>
      <c r="BC99" s="99"/>
      <c r="BD99" s="93">
        <v>5690.3</v>
      </c>
      <c r="BE99" s="93"/>
      <c r="BF99" s="93"/>
      <c r="BG99" s="93">
        <v>10000</v>
      </c>
      <c r="BH99" s="93"/>
      <c r="BI99" s="100">
        <v>3950</v>
      </c>
      <c r="BJ99" s="93"/>
      <c r="BK99" s="93">
        <v>3500</v>
      </c>
      <c r="BL99" s="93"/>
      <c r="BM99" s="101">
        <f>BK99-BG99</f>
        <v>-6500</v>
      </c>
      <c r="BN99" s="101"/>
      <c r="BO99" s="93">
        <v>2840.18</v>
      </c>
      <c r="BP99" s="93"/>
      <c r="BQ99" s="102">
        <v>5060</v>
      </c>
      <c r="BR99" s="102"/>
      <c r="BS99" s="102">
        <f t="shared" si="49"/>
        <v>1560</v>
      </c>
      <c r="BT99" s="101"/>
      <c r="BU99" s="93">
        <v>7500</v>
      </c>
      <c r="BV99" s="58"/>
      <c r="BW99" s="101">
        <f t="shared" si="71"/>
        <v>4000</v>
      </c>
      <c r="BX99" s="58"/>
      <c r="BY99" s="91" t="s">
        <v>279</v>
      </c>
      <c r="BZ99" s="102">
        <v>3000</v>
      </c>
      <c r="CA99" s="102"/>
      <c r="CB99" s="93">
        <v>3000</v>
      </c>
      <c r="CC99" s="93"/>
      <c r="CD99" s="93">
        <v>0</v>
      </c>
      <c r="CE99" s="93"/>
      <c r="CF99" s="93">
        <v>1000</v>
      </c>
      <c r="CG99" s="99"/>
      <c r="CH99" s="103">
        <f t="shared" ref="CH99" si="75">CF99-CB99</f>
        <v>-2000</v>
      </c>
      <c r="CI99" s="129"/>
      <c r="CJ99" s="300" t="s">
        <v>238</v>
      </c>
      <c r="CK99" s="346">
        <f t="shared" si="56"/>
        <v>83.333333333333329</v>
      </c>
    </row>
    <row r="100" spans="1:89" ht="15" customHeight="1" thickBot="1" x14ac:dyDescent="0.25">
      <c r="A100" s="4"/>
      <c r="B100" s="201"/>
      <c r="C100" s="133"/>
      <c r="D100" s="133" t="s">
        <v>84</v>
      </c>
      <c r="E100" s="134"/>
      <c r="F100" s="133"/>
      <c r="G100" s="119">
        <f>ROUND(SUM(G97:G99),5)</f>
        <v>642</v>
      </c>
      <c r="H100" s="120"/>
      <c r="I100" s="119">
        <f>ROUND(SUM(I97:I99),5)</f>
        <v>3375</v>
      </c>
      <c r="J100" s="120"/>
      <c r="K100" s="119">
        <f>ROUND((G100-I100),5)</f>
        <v>-2733</v>
      </c>
      <c r="L100" s="120"/>
      <c r="M100" s="121">
        <f>ROUND(IF(I100=0, IF(G100=0, 0, 1), G100/I100),5)</f>
        <v>0.19022</v>
      </c>
      <c r="N100" s="120"/>
      <c r="O100" s="119">
        <f>ROUND(SUM(O97:O99),5)</f>
        <v>83</v>
      </c>
      <c r="P100" s="120"/>
      <c r="Q100" s="119">
        <f>ROUND(SUM(Q97:Q99),5)</f>
        <v>3375</v>
      </c>
      <c r="R100" s="120"/>
      <c r="S100" s="119">
        <f>ROUND((O100-Q100),5)</f>
        <v>-3292</v>
      </c>
      <c r="T100" s="120"/>
      <c r="U100" s="121">
        <f>ROUND(IF(Q100=0, IF(O100=0, 0, 1), O100/Q100),5)</f>
        <v>2.4590000000000001E-2</v>
      </c>
      <c r="V100" s="120"/>
      <c r="W100" s="77">
        <f>SUM(W98:W99)</f>
        <v>4525</v>
      </c>
      <c r="X100" s="77"/>
      <c r="Y100" s="77">
        <f>SUM(Y98:Y99)</f>
        <v>3375</v>
      </c>
      <c r="Z100" s="77"/>
      <c r="AA100" s="77">
        <f>ROUND((W100-Y100),5)</f>
        <v>1150</v>
      </c>
      <c r="AB100" s="77"/>
      <c r="AC100" s="77"/>
      <c r="AD100" s="174">
        <f>SUM(AD98:AD99)</f>
        <v>0</v>
      </c>
      <c r="AE100" s="174"/>
      <c r="AF100" s="175"/>
      <c r="AG100" s="79"/>
      <c r="AH100" s="79">
        <v>42500</v>
      </c>
      <c r="AI100" s="79"/>
      <c r="AJ100" s="79">
        <v>28952.589999999997</v>
      </c>
      <c r="AK100" s="79"/>
      <c r="AL100" s="79">
        <f>SUM(AL98:AL99)</f>
        <v>40500</v>
      </c>
      <c r="AM100" s="79"/>
      <c r="AN100" s="79">
        <v>32710.7</v>
      </c>
      <c r="AO100" s="79"/>
      <c r="AP100" s="79">
        <f>SUM(AP98:AP99)</f>
        <v>5884</v>
      </c>
      <c r="AQ100" s="79"/>
      <c r="AR100" s="79">
        <f>SUM(AR98:AR99)</f>
        <v>10125</v>
      </c>
      <c r="AS100" s="79">
        <f t="shared" si="74"/>
        <v>11768</v>
      </c>
      <c r="AT100" s="79"/>
      <c r="AU100" s="80"/>
      <c r="AV100" s="79">
        <f>SUM(AV98:AV99)</f>
        <v>40500</v>
      </c>
      <c r="AW100" s="80"/>
      <c r="AX100" s="81">
        <f t="shared" si="73"/>
        <v>-7789.2999999999993</v>
      </c>
      <c r="AY100" s="88"/>
      <c r="AZ100" s="89" t="e">
        <f>AZ98+#REF!+#REF!+AZ99</f>
        <v>#REF!</v>
      </c>
      <c r="BA100" s="79"/>
      <c r="BB100" s="79"/>
      <c r="BC100" s="83"/>
      <c r="BD100" s="79">
        <f>SUM(BD98:BD99)</f>
        <v>12333.89</v>
      </c>
      <c r="BE100" s="79"/>
      <c r="BF100" s="79"/>
      <c r="BG100" s="79">
        <f>SUM(BG98:BG99)</f>
        <v>18000</v>
      </c>
      <c r="BH100" s="79"/>
      <c r="BI100" s="79">
        <f>SUM(BI98:BI99)</f>
        <v>13526.01</v>
      </c>
      <c r="BJ100" s="79"/>
      <c r="BK100" s="79">
        <f>SUM(BK98:BK99)</f>
        <v>11500</v>
      </c>
      <c r="BL100" s="79"/>
      <c r="BM100" s="84">
        <f>BK100-BG100</f>
        <v>-6500</v>
      </c>
      <c r="BN100" s="84"/>
      <c r="BO100" s="79" t="e">
        <f>BO98+#REF!+#REF!+BO99</f>
        <v>#REF!</v>
      </c>
      <c r="BP100" s="79"/>
      <c r="BQ100" s="85">
        <f>SUM(BQ98:BQ99)</f>
        <v>17457.940000000002</v>
      </c>
      <c r="BR100" s="85"/>
      <c r="BS100" s="85" t="e">
        <f>BS98+#REF!+#REF!+BS99</f>
        <v>#REF!</v>
      </c>
      <c r="BT100" s="84"/>
      <c r="BU100" s="79" t="e">
        <f>BU98+#REF!+#REF!+BU99</f>
        <v>#REF!</v>
      </c>
      <c r="BV100" s="54"/>
      <c r="BW100" s="79" t="e">
        <f t="shared" si="71"/>
        <v>#REF!</v>
      </c>
      <c r="BX100" s="54"/>
      <c r="BY100" s="91"/>
      <c r="BZ100" s="79" t="e">
        <f>BZ98+#REF!+#REF!+BZ99</f>
        <v>#REF!</v>
      </c>
      <c r="CA100" s="79"/>
      <c r="CB100" s="79" t="e">
        <f>CB98+#REF!+#REF!+CB99</f>
        <v>#REF!</v>
      </c>
      <c r="CC100" s="79"/>
      <c r="CD100" s="79" t="e">
        <f>CD98+#REF!+#REF!+CD99</f>
        <v>#REF!</v>
      </c>
      <c r="CE100" s="79"/>
      <c r="CF100" s="79">
        <f>CF98+CF99</f>
        <v>24000</v>
      </c>
      <c r="CG100" s="83"/>
      <c r="CH100" s="112" t="e">
        <f t="shared" ref="CH100:CH153" si="76">CB100-BU100</f>
        <v>#REF!</v>
      </c>
      <c r="CI100" s="199"/>
      <c r="CJ100" s="299"/>
      <c r="CK100" s="346">
        <f t="shared" si="56"/>
        <v>2000</v>
      </c>
    </row>
    <row r="101" spans="1:89" ht="13.5" customHeight="1" x14ac:dyDescent="0.2">
      <c r="A101" s="4"/>
      <c r="B101" s="201"/>
      <c r="C101" s="133"/>
      <c r="D101" s="133" t="s">
        <v>209</v>
      </c>
      <c r="E101" s="134"/>
      <c r="F101" s="133"/>
      <c r="G101" s="119"/>
      <c r="H101" s="120"/>
      <c r="I101" s="119"/>
      <c r="J101" s="120"/>
      <c r="K101" s="119"/>
      <c r="L101" s="120"/>
      <c r="M101" s="121"/>
      <c r="N101" s="120"/>
      <c r="O101" s="119"/>
      <c r="P101" s="120"/>
      <c r="Q101" s="119"/>
      <c r="R101" s="120"/>
      <c r="S101" s="119"/>
      <c r="T101" s="120"/>
      <c r="U101" s="121"/>
      <c r="V101" s="120"/>
      <c r="W101" s="34"/>
      <c r="X101" s="34"/>
      <c r="Y101" s="34"/>
      <c r="Z101" s="34"/>
      <c r="AA101" s="34"/>
      <c r="AB101" s="34"/>
      <c r="AC101" s="34"/>
      <c r="AD101" s="34"/>
      <c r="AE101" s="34"/>
      <c r="AF101" s="49"/>
      <c r="AG101" s="50"/>
      <c r="AH101" s="54"/>
      <c r="AI101" s="54"/>
      <c r="AJ101" s="54"/>
      <c r="AK101" s="54"/>
      <c r="AL101" s="54"/>
      <c r="AM101" s="54"/>
      <c r="AN101" s="54"/>
      <c r="AO101" s="54"/>
      <c r="AP101" s="54"/>
      <c r="AQ101" s="54"/>
      <c r="AR101" s="54"/>
      <c r="AS101" s="54"/>
      <c r="AT101" s="54"/>
      <c r="AU101" s="55"/>
      <c r="AV101" s="54"/>
      <c r="AW101" s="55"/>
      <c r="AX101" s="56">
        <f t="shared" si="73"/>
        <v>0</v>
      </c>
      <c r="AY101" s="88"/>
      <c r="AZ101" s="114"/>
      <c r="BA101" s="54"/>
      <c r="BB101" s="54"/>
      <c r="BC101" s="60"/>
      <c r="BD101" s="54"/>
      <c r="BE101" s="54"/>
      <c r="BF101" s="54"/>
      <c r="BG101" s="54"/>
      <c r="BH101" s="54"/>
      <c r="BI101" s="54"/>
      <c r="BJ101" s="54"/>
      <c r="BK101" s="54"/>
      <c r="BL101" s="54"/>
      <c r="BM101" s="58"/>
      <c r="BN101" s="58"/>
      <c r="BO101" s="54"/>
      <c r="BP101" s="54"/>
      <c r="BQ101" s="66"/>
      <c r="BR101" s="66"/>
      <c r="BS101" s="66"/>
      <c r="BT101" s="58"/>
      <c r="BU101" s="54"/>
      <c r="BV101" s="58"/>
      <c r="BW101" s="58">
        <f t="shared" si="71"/>
        <v>0</v>
      </c>
      <c r="BX101" s="58"/>
      <c r="BY101" s="91"/>
      <c r="BZ101" s="66"/>
      <c r="CA101" s="66"/>
      <c r="CB101" s="54"/>
      <c r="CC101" s="54"/>
      <c r="CD101" s="54"/>
      <c r="CE101" s="54"/>
      <c r="CF101" s="54"/>
      <c r="CG101" s="60"/>
      <c r="CH101" s="61"/>
      <c r="CI101" s="200"/>
      <c r="CJ101" s="294"/>
      <c r="CK101" s="346">
        <f t="shared" si="56"/>
        <v>0</v>
      </c>
    </row>
    <row r="102" spans="1:89" ht="14.25" customHeight="1" x14ac:dyDescent="0.2">
      <c r="A102" s="4"/>
      <c r="B102" s="201"/>
      <c r="C102" s="133"/>
      <c r="D102" s="133"/>
      <c r="E102" s="351" t="s">
        <v>320</v>
      </c>
      <c r="F102" s="351"/>
      <c r="G102" s="119">
        <v>1051.42</v>
      </c>
      <c r="H102" s="120"/>
      <c r="I102" s="119">
        <v>416.63</v>
      </c>
      <c r="J102" s="120"/>
      <c r="K102" s="119">
        <f t="shared" ref="K102:K105" si="77">ROUND((G102-I102),5)</f>
        <v>634.79</v>
      </c>
      <c r="L102" s="120"/>
      <c r="M102" s="121">
        <f t="shared" ref="M102:M105" si="78">ROUND(IF(I102=0, IF(G102=0, 0, 1), G102/I102),5)</f>
        <v>2.5236299999999998</v>
      </c>
      <c r="N102" s="120"/>
      <c r="O102" s="119">
        <v>75</v>
      </c>
      <c r="P102" s="120"/>
      <c r="Q102" s="119">
        <v>416.67</v>
      </c>
      <c r="R102" s="120"/>
      <c r="S102" s="119">
        <f t="shared" ref="S102:S105" si="79">ROUND((O102-Q102),5)</f>
        <v>-341.67</v>
      </c>
      <c r="T102" s="120"/>
      <c r="U102" s="121">
        <f t="shared" ref="U102:U105" si="80">ROUND(IF(Q102=0, IF(O102=0, 0, 1), O102/Q102),5)</f>
        <v>0.18</v>
      </c>
      <c r="V102" s="120"/>
      <c r="W102" s="34">
        <v>60.9</v>
      </c>
      <c r="X102" s="34"/>
      <c r="Y102" s="34">
        <v>416.67</v>
      </c>
      <c r="Z102" s="34"/>
      <c r="AA102" s="34">
        <f t="shared" ref="AA102:AA105" si="81">ROUND((W102-Y102),5)</f>
        <v>-355.77</v>
      </c>
      <c r="AB102" s="34"/>
      <c r="AC102" s="34"/>
      <c r="AD102" s="34"/>
      <c r="AE102" s="34"/>
      <c r="AF102" s="49"/>
      <c r="AG102" s="50"/>
      <c r="AH102" s="54"/>
      <c r="AI102" s="54"/>
      <c r="AJ102" s="54">
        <v>5073.37</v>
      </c>
      <c r="AK102" s="54"/>
      <c r="AL102" s="54">
        <v>5000</v>
      </c>
      <c r="AM102" s="54"/>
      <c r="AN102" s="54">
        <v>4835.7</v>
      </c>
      <c r="AO102" s="54"/>
      <c r="AP102" s="54">
        <v>3619.55</v>
      </c>
      <c r="AQ102" s="54"/>
      <c r="AR102" s="54">
        <f>ROUND(I102+Q102+Y102,5)</f>
        <v>1249.97</v>
      </c>
      <c r="AS102" s="54">
        <f t="shared" ref="AS102:AS105" si="82">AP102*2</f>
        <v>7239.1</v>
      </c>
      <c r="AT102" s="54"/>
      <c r="AU102" s="55"/>
      <c r="AV102" s="54">
        <v>7500</v>
      </c>
      <c r="AW102" s="55"/>
      <c r="AX102" s="56">
        <f t="shared" si="73"/>
        <v>-164.30000000000018</v>
      </c>
      <c r="AY102" s="88"/>
      <c r="AZ102" s="89">
        <v>1261.9100000000001</v>
      </c>
      <c r="BA102" s="54"/>
      <c r="BB102" s="54"/>
      <c r="BC102" s="60"/>
      <c r="BD102" s="54">
        <v>3705.82</v>
      </c>
      <c r="BE102" s="54"/>
      <c r="BF102" s="54"/>
      <c r="BG102" s="54">
        <v>7500</v>
      </c>
      <c r="BH102" s="54"/>
      <c r="BI102" s="57">
        <v>2338.23</v>
      </c>
      <c r="BJ102" s="54"/>
      <c r="BK102" s="54">
        <v>2000</v>
      </c>
      <c r="BL102" s="54"/>
      <c r="BM102" s="58">
        <f t="shared" ref="BM102:BM105" si="83">BK102-BG102</f>
        <v>-5500</v>
      </c>
      <c r="BN102" s="58"/>
      <c r="BO102" s="54">
        <v>955.06</v>
      </c>
      <c r="BP102" s="54"/>
      <c r="BQ102" s="66">
        <f>1756.34+126.8</f>
        <v>1883.1399999999999</v>
      </c>
      <c r="BR102" s="66"/>
      <c r="BS102" s="66">
        <f t="shared" si="49"/>
        <v>-116.86000000000013</v>
      </c>
      <c r="BT102" s="58"/>
      <c r="BU102" s="54">
        <v>5000</v>
      </c>
      <c r="BV102" s="58"/>
      <c r="BW102" s="58">
        <f t="shared" si="71"/>
        <v>3000</v>
      </c>
      <c r="BX102" s="58"/>
      <c r="BY102" s="91" t="s">
        <v>280</v>
      </c>
      <c r="BZ102" s="66">
        <v>1981.54</v>
      </c>
      <c r="CA102" s="66"/>
      <c r="CB102" s="54">
        <v>2000</v>
      </c>
      <c r="CC102" s="54"/>
      <c r="CD102" s="54">
        <v>14347.2</v>
      </c>
      <c r="CE102" s="54"/>
      <c r="CF102" s="54">
        <v>4500</v>
      </c>
      <c r="CG102" s="60"/>
      <c r="CH102" s="61">
        <f t="shared" ref="CH102:CH123" si="84">CF102-CB102</f>
        <v>2500</v>
      </c>
      <c r="CI102" s="200"/>
      <c r="CJ102" s="295" t="s">
        <v>204</v>
      </c>
      <c r="CK102" s="346">
        <f t="shared" si="56"/>
        <v>375</v>
      </c>
    </row>
    <row r="103" spans="1:89" ht="13.5" customHeight="1" thickBot="1" x14ac:dyDescent="0.25">
      <c r="A103" s="4"/>
      <c r="B103" s="201"/>
      <c r="C103" s="133"/>
      <c r="D103" s="133"/>
      <c r="E103" s="351" t="s">
        <v>87</v>
      </c>
      <c r="F103" s="351"/>
      <c r="G103" s="119">
        <v>0</v>
      </c>
      <c r="H103" s="120"/>
      <c r="I103" s="119">
        <v>166.63</v>
      </c>
      <c r="J103" s="120"/>
      <c r="K103" s="119">
        <f t="shared" si="77"/>
        <v>-166.63</v>
      </c>
      <c r="L103" s="120"/>
      <c r="M103" s="121">
        <f t="shared" si="78"/>
        <v>0</v>
      </c>
      <c r="N103" s="120"/>
      <c r="O103" s="119">
        <v>0</v>
      </c>
      <c r="P103" s="120"/>
      <c r="Q103" s="119">
        <v>166.67</v>
      </c>
      <c r="R103" s="120"/>
      <c r="S103" s="119">
        <f t="shared" si="79"/>
        <v>-166.67</v>
      </c>
      <c r="T103" s="120"/>
      <c r="U103" s="121">
        <f t="shared" si="80"/>
        <v>0</v>
      </c>
      <c r="V103" s="120"/>
      <c r="W103" s="34">
        <v>0</v>
      </c>
      <c r="X103" s="34"/>
      <c r="Y103" s="34">
        <v>166.67</v>
      </c>
      <c r="Z103" s="34"/>
      <c r="AA103" s="34">
        <f t="shared" si="81"/>
        <v>-166.67</v>
      </c>
      <c r="AB103" s="34"/>
      <c r="AC103" s="34"/>
      <c r="AD103" s="34"/>
      <c r="AE103" s="34"/>
      <c r="AF103" s="49"/>
      <c r="AG103" s="50"/>
      <c r="AH103" s="54"/>
      <c r="AI103" s="54"/>
      <c r="AJ103" s="54">
        <v>2360.41</v>
      </c>
      <c r="AK103" s="54"/>
      <c r="AL103" s="54">
        <v>2000</v>
      </c>
      <c r="AM103" s="54"/>
      <c r="AN103" s="54">
        <v>77</v>
      </c>
      <c r="AO103" s="54"/>
      <c r="AP103" s="54">
        <v>87.75</v>
      </c>
      <c r="AQ103" s="54"/>
      <c r="AR103" s="54">
        <f>ROUND(I103+Q103+Y103,5)</f>
        <v>499.97</v>
      </c>
      <c r="AS103" s="54">
        <f t="shared" si="82"/>
        <v>175.5</v>
      </c>
      <c r="AT103" s="54"/>
      <c r="AU103" s="55"/>
      <c r="AV103" s="93">
        <v>5500</v>
      </c>
      <c r="AW103" s="94"/>
      <c r="AX103" s="95">
        <f t="shared" si="73"/>
        <v>-1923</v>
      </c>
      <c r="AY103" s="96"/>
      <c r="AZ103" s="97">
        <v>809.5</v>
      </c>
      <c r="BA103" s="93"/>
      <c r="BB103" s="93"/>
      <c r="BC103" s="99"/>
      <c r="BD103" s="93">
        <v>770.5</v>
      </c>
      <c r="BE103" s="93"/>
      <c r="BF103" s="93"/>
      <c r="BG103" s="93">
        <v>5500</v>
      </c>
      <c r="BH103" s="93"/>
      <c r="BI103" s="100">
        <v>692.75</v>
      </c>
      <c r="BJ103" s="93"/>
      <c r="BK103" s="93">
        <v>0</v>
      </c>
      <c r="BL103" s="93"/>
      <c r="BM103" s="101">
        <f t="shared" si="83"/>
        <v>-5500</v>
      </c>
      <c r="BN103" s="101"/>
      <c r="BO103" s="93">
        <v>0</v>
      </c>
      <c r="BP103" s="93"/>
      <c r="BQ103" s="102">
        <f t="shared" si="57"/>
        <v>0</v>
      </c>
      <c r="BR103" s="102"/>
      <c r="BS103" s="102">
        <f t="shared" si="49"/>
        <v>0</v>
      </c>
      <c r="BT103" s="101"/>
      <c r="BU103" s="93">
        <v>2000</v>
      </c>
      <c r="BV103" s="58"/>
      <c r="BW103" s="101">
        <f t="shared" si="71"/>
        <v>2000</v>
      </c>
      <c r="BX103" s="58"/>
      <c r="BY103" s="91" t="s">
        <v>282</v>
      </c>
      <c r="BZ103" s="102">
        <v>834</v>
      </c>
      <c r="CA103" s="102"/>
      <c r="CB103" s="93">
        <v>2000</v>
      </c>
      <c r="CC103" s="93"/>
      <c r="CD103" s="93">
        <v>0</v>
      </c>
      <c r="CE103" s="93"/>
      <c r="CF103" s="93">
        <v>1000</v>
      </c>
      <c r="CG103" s="99"/>
      <c r="CH103" s="103">
        <f t="shared" si="84"/>
        <v>-1000</v>
      </c>
      <c r="CI103" s="224"/>
      <c r="CJ103" s="308" t="s">
        <v>237</v>
      </c>
      <c r="CK103" s="346">
        <f t="shared" si="56"/>
        <v>83.333333333333329</v>
      </c>
    </row>
    <row r="104" spans="1:89" ht="18.75" hidden="1" customHeight="1" thickBot="1" x14ac:dyDescent="0.25">
      <c r="A104" s="4"/>
      <c r="B104" s="201"/>
      <c r="C104" s="133"/>
      <c r="D104" s="133"/>
      <c r="E104" s="134" t="s">
        <v>88</v>
      </c>
      <c r="F104" s="133"/>
      <c r="G104" s="119">
        <v>0</v>
      </c>
      <c r="H104" s="120"/>
      <c r="I104" s="119">
        <v>2083.37</v>
      </c>
      <c r="J104" s="120"/>
      <c r="K104" s="119">
        <f t="shared" si="77"/>
        <v>-2083.37</v>
      </c>
      <c r="L104" s="120"/>
      <c r="M104" s="121">
        <f t="shared" si="78"/>
        <v>0</v>
      </c>
      <c r="N104" s="120"/>
      <c r="O104" s="119">
        <v>11545</v>
      </c>
      <c r="P104" s="120"/>
      <c r="Q104" s="119">
        <v>2083.33</v>
      </c>
      <c r="R104" s="120"/>
      <c r="S104" s="119">
        <f t="shared" si="79"/>
        <v>9461.67</v>
      </c>
      <c r="T104" s="120"/>
      <c r="U104" s="121">
        <f t="shared" si="80"/>
        <v>5.5416100000000004</v>
      </c>
      <c r="V104" s="120"/>
      <c r="W104" s="34">
        <v>0</v>
      </c>
      <c r="X104" s="34"/>
      <c r="Y104" s="34">
        <v>2083.33</v>
      </c>
      <c r="Z104" s="34"/>
      <c r="AA104" s="34">
        <f t="shared" si="81"/>
        <v>-2083.33</v>
      </c>
      <c r="AB104" s="34"/>
      <c r="AC104" s="34"/>
      <c r="AD104" s="34"/>
      <c r="AE104" s="34"/>
      <c r="AF104" s="71"/>
      <c r="AG104" s="72"/>
      <c r="AH104" s="93"/>
      <c r="AI104" s="93"/>
      <c r="AJ104" s="93">
        <v>18772.97</v>
      </c>
      <c r="AK104" s="93"/>
      <c r="AL104" s="93">
        <v>25000</v>
      </c>
      <c r="AM104" s="93"/>
      <c r="AN104" s="93">
        <v>15290.61</v>
      </c>
      <c r="AO104" s="93"/>
      <c r="AP104" s="93">
        <v>14560</v>
      </c>
      <c r="AQ104" s="93"/>
      <c r="AR104" s="93">
        <f>ROUND(I104+Q104+Y104,5)</f>
        <v>6250.03</v>
      </c>
      <c r="AS104" s="93">
        <f t="shared" si="82"/>
        <v>29120</v>
      </c>
      <c r="AT104" s="93"/>
      <c r="AU104" s="94"/>
      <c r="AV104" s="104">
        <v>1400</v>
      </c>
      <c r="AW104" s="105"/>
      <c r="AX104" s="106">
        <f t="shared" si="73"/>
        <v>-9709.39</v>
      </c>
      <c r="AY104" s="96"/>
      <c r="AZ104" s="97">
        <v>1964.71</v>
      </c>
      <c r="BA104" s="104"/>
      <c r="BB104" s="104"/>
      <c r="BC104" s="107"/>
      <c r="BD104" s="79">
        <v>2282.6</v>
      </c>
      <c r="BE104" s="79"/>
      <c r="BF104" s="79"/>
      <c r="BG104" s="79">
        <v>1400</v>
      </c>
      <c r="BH104" s="79"/>
      <c r="BI104" s="176">
        <v>376.5</v>
      </c>
      <c r="BJ104" s="79"/>
      <c r="BK104" s="79">
        <v>0</v>
      </c>
      <c r="BL104" s="79"/>
      <c r="BM104" s="84">
        <f t="shared" si="83"/>
        <v>-1400</v>
      </c>
      <c r="BN104" s="84"/>
      <c r="BO104" s="79"/>
      <c r="BP104" s="79"/>
      <c r="BQ104" s="85">
        <f t="shared" si="57"/>
        <v>0</v>
      </c>
      <c r="BR104" s="85"/>
      <c r="BS104" s="85">
        <f t="shared" si="49"/>
        <v>0</v>
      </c>
      <c r="BT104" s="84"/>
      <c r="BU104" s="79">
        <v>0</v>
      </c>
      <c r="BV104" s="58"/>
      <c r="BW104" s="84">
        <f t="shared" si="71"/>
        <v>0</v>
      </c>
      <c r="BX104" s="58"/>
      <c r="BY104" s="91"/>
      <c r="BZ104" s="85">
        <f>BX104*2</f>
        <v>0</v>
      </c>
      <c r="CA104" s="85"/>
      <c r="CB104" s="79">
        <v>0</v>
      </c>
      <c r="CC104" s="79"/>
      <c r="CD104" s="79">
        <v>0</v>
      </c>
      <c r="CE104" s="79"/>
      <c r="CF104" s="79">
        <v>0</v>
      </c>
      <c r="CG104" s="83"/>
      <c r="CH104" s="112">
        <f t="shared" si="84"/>
        <v>0</v>
      </c>
      <c r="CI104" s="199"/>
      <c r="CJ104" s="299"/>
      <c r="CK104" s="346">
        <f t="shared" si="56"/>
        <v>0</v>
      </c>
    </row>
    <row r="105" spans="1:89" ht="15.75" customHeight="1" thickBot="1" x14ac:dyDescent="0.25">
      <c r="A105" s="4"/>
      <c r="B105" s="201"/>
      <c r="C105" s="133"/>
      <c r="D105" s="133" t="s">
        <v>210</v>
      </c>
      <c r="E105" s="134"/>
      <c r="F105" s="133"/>
      <c r="G105" s="331">
        <f>ROUND(SUM(G101:G104),5)</f>
        <v>1051.42</v>
      </c>
      <c r="H105" s="120"/>
      <c r="I105" s="331">
        <f>ROUND(SUM(I101:I104),5)</f>
        <v>2666.63</v>
      </c>
      <c r="J105" s="120"/>
      <c r="K105" s="331">
        <f t="shared" si="77"/>
        <v>-1615.21</v>
      </c>
      <c r="L105" s="120"/>
      <c r="M105" s="332">
        <f t="shared" si="78"/>
        <v>0.39428999999999997</v>
      </c>
      <c r="N105" s="120"/>
      <c r="O105" s="331">
        <f>ROUND(SUM(O101:O104),5)</f>
        <v>11620</v>
      </c>
      <c r="P105" s="120"/>
      <c r="Q105" s="331">
        <f>ROUND(SUM(Q101:Q104),5)</f>
        <v>2666.67</v>
      </c>
      <c r="R105" s="120"/>
      <c r="S105" s="331">
        <f t="shared" si="79"/>
        <v>8953.33</v>
      </c>
      <c r="T105" s="120"/>
      <c r="U105" s="332">
        <f t="shared" si="80"/>
        <v>4.3574900000000003</v>
      </c>
      <c r="V105" s="120"/>
      <c r="W105" s="77">
        <f>SUM(W102:W104)</f>
        <v>60.9</v>
      </c>
      <c r="X105" s="77"/>
      <c r="Y105" s="77">
        <f>SUM(Y102:Y104)</f>
        <v>2666.67</v>
      </c>
      <c r="Z105" s="77"/>
      <c r="AA105" s="77">
        <f t="shared" si="81"/>
        <v>-2605.77</v>
      </c>
      <c r="AB105" s="77"/>
      <c r="AC105" s="77"/>
      <c r="AD105" s="174">
        <f>SUM(AD102:AD104)</f>
        <v>0</v>
      </c>
      <c r="AE105" s="174"/>
      <c r="AF105" s="175"/>
      <c r="AG105" s="79"/>
      <c r="AH105" s="79">
        <v>42500</v>
      </c>
      <c r="AI105" s="79"/>
      <c r="AJ105" s="79">
        <v>34955.9</v>
      </c>
      <c r="AK105" s="79"/>
      <c r="AL105" s="79">
        <f>SUM(AL102:AL104)</f>
        <v>32000</v>
      </c>
      <c r="AM105" s="79"/>
      <c r="AN105" s="79">
        <f>SUM(AN102:AN104)</f>
        <v>20203.310000000001</v>
      </c>
      <c r="AO105" s="79"/>
      <c r="AP105" s="79">
        <f>SUM(AP102:AP104)</f>
        <v>18267.3</v>
      </c>
      <c r="AQ105" s="79"/>
      <c r="AR105" s="79">
        <f>SUM(AR102:AR104)</f>
        <v>7999.9699999999993</v>
      </c>
      <c r="AS105" s="79">
        <f t="shared" si="82"/>
        <v>36534.6</v>
      </c>
      <c r="AT105" s="79"/>
      <c r="AU105" s="80"/>
      <c r="AV105" s="79">
        <f>SUM(AV102:AV104)</f>
        <v>14400</v>
      </c>
      <c r="AW105" s="80"/>
      <c r="AX105" s="81">
        <f t="shared" si="73"/>
        <v>-11796.689999999999</v>
      </c>
      <c r="AY105" s="88"/>
      <c r="AZ105" s="89">
        <v>14124.54</v>
      </c>
      <c r="BA105" s="79"/>
      <c r="BB105" s="79"/>
      <c r="BC105" s="83"/>
      <c r="BD105" s="54">
        <f>SUM(BD102:BD104)</f>
        <v>6758.92</v>
      </c>
      <c r="BE105" s="54"/>
      <c r="BF105" s="54"/>
      <c r="BG105" s="54">
        <f>SUM(BG102:BG104)</f>
        <v>14400</v>
      </c>
      <c r="BH105" s="54"/>
      <c r="BI105" s="54">
        <f>SUM(BI102:BI104)</f>
        <v>3407.48</v>
      </c>
      <c r="BJ105" s="54"/>
      <c r="BK105" s="54">
        <f>SUM(BK102:BK104)</f>
        <v>2000</v>
      </c>
      <c r="BL105" s="54"/>
      <c r="BM105" s="58">
        <f t="shared" si="83"/>
        <v>-12400</v>
      </c>
      <c r="BN105" s="58"/>
      <c r="BO105" s="54">
        <f>SUM(BO102:BO104)</f>
        <v>955.06</v>
      </c>
      <c r="BP105" s="54"/>
      <c r="BQ105" s="66">
        <f>SUM(BQ102:BQ103)</f>
        <v>1883.1399999999999</v>
      </c>
      <c r="BR105" s="66"/>
      <c r="BS105" s="66" t="e">
        <f>BS102+#REF!+#REF!+BS103</f>
        <v>#REF!</v>
      </c>
      <c r="BT105" s="58"/>
      <c r="BU105" s="54">
        <f>SUM(BU102:BU104)</f>
        <v>7000</v>
      </c>
      <c r="BV105" s="58"/>
      <c r="BW105" s="58">
        <f t="shared" si="71"/>
        <v>5000</v>
      </c>
      <c r="BX105" s="58"/>
      <c r="BY105" s="91"/>
      <c r="BZ105" s="54">
        <f>SUM(BZ102:BZ104)</f>
        <v>2815.54</v>
      </c>
      <c r="CA105" s="54"/>
      <c r="CB105" s="54">
        <f>SUM(CB102:CB104)</f>
        <v>4000</v>
      </c>
      <c r="CC105" s="54"/>
      <c r="CD105" s="54">
        <f>SUM(CD102:CD104)</f>
        <v>14347.2</v>
      </c>
      <c r="CE105" s="54"/>
      <c r="CF105" s="54">
        <f>SUM(CF102:CF104)</f>
        <v>5500</v>
      </c>
      <c r="CG105" s="60"/>
      <c r="CH105" s="61">
        <f t="shared" si="84"/>
        <v>1500</v>
      </c>
      <c r="CI105" s="200"/>
      <c r="CJ105" s="294"/>
      <c r="CK105" s="346">
        <f t="shared" si="56"/>
        <v>458.33333333333331</v>
      </c>
    </row>
    <row r="106" spans="1:89" ht="13.5" customHeight="1" x14ac:dyDescent="0.2">
      <c r="A106" s="4"/>
      <c r="B106" s="201"/>
      <c r="C106" s="133"/>
      <c r="D106" s="133" t="s">
        <v>208</v>
      </c>
      <c r="E106" s="134"/>
      <c r="F106" s="133"/>
      <c r="G106" s="119"/>
      <c r="H106" s="120"/>
      <c r="I106" s="119"/>
      <c r="J106" s="120"/>
      <c r="K106" s="119"/>
      <c r="L106" s="120"/>
      <c r="M106" s="121"/>
      <c r="N106" s="120"/>
      <c r="O106" s="119"/>
      <c r="P106" s="120"/>
      <c r="Q106" s="119"/>
      <c r="R106" s="120"/>
      <c r="S106" s="119"/>
      <c r="T106" s="120"/>
      <c r="U106" s="121"/>
      <c r="V106" s="120"/>
      <c r="W106" s="34"/>
      <c r="X106" s="34"/>
      <c r="Y106" s="34"/>
      <c r="Z106" s="34"/>
      <c r="AA106" s="34"/>
      <c r="AB106" s="34"/>
      <c r="AC106" s="34"/>
      <c r="AD106" s="34"/>
      <c r="AE106" s="34"/>
      <c r="AF106" s="49"/>
      <c r="AG106" s="50"/>
      <c r="AH106" s="54"/>
      <c r="AI106" s="54"/>
      <c r="AJ106" s="54"/>
      <c r="AK106" s="54"/>
      <c r="AL106" s="54"/>
      <c r="AM106" s="54"/>
      <c r="AN106" s="54"/>
      <c r="AO106" s="54"/>
      <c r="AP106" s="54"/>
      <c r="AQ106" s="54"/>
      <c r="AR106" s="54"/>
      <c r="AS106" s="54"/>
      <c r="AT106" s="54"/>
      <c r="AU106" s="55"/>
      <c r="AV106" s="54"/>
      <c r="AW106" s="55"/>
      <c r="AX106" s="56">
        <f t="shared" si="73"/>
        <v>0</v>
      </c>
      <c r="AY106" s="88"/>
      <c r="AZ106" s="114"/>
      <c r="BA106" s="54"/>
      <c r="BB106" s="54"/>
      <c r="BC106" s="60"/>
      <c r="BD106" s="54"/>
      <c r="BE106" s="54"/>
      <c r="BF106" s="54"/>
      <c r="BG106" s="54"/>
      <c r="BH106" s="54"/>
      <c r="BI106" s="54"/>
      <c r="BJ106" s="54"/>
      <c r="BK106" s="54"/>
      <c r="BL106" s="54"/>
      <c r="BM106" s="58"/>
      <c r="BN106" s="58"/>
      <c r="BO106" s="54"/>
      <c r="BP106" s="54"/>
      <c r="BQ106" s="66"/>
      <c r="BR106" s="66"/>
      <c r="BS106" s="66"/>
      <c r="BT106" s="58"/>
      <c r="BU106" s="113"/>
      <c r="BV106" s="58"/>
      <c r="BW106" s="58">
        <f t="shared" si="71"/>
        <v>0</v>
      </c>
      <c r="BX106" s="58"/>
      <c r="BY106" s="91"/>
      <c r="BZ106" s="66"/>
      <c r="CA106" s="66"/>
      <c r="CB106" s="177"/>
      <c r="CC106" s="177"/>
      <c r="CD106" s="177"/>
      <c r="CE106" s="177"/>
      <c r="CF106" s="177"/>
      <c r="CG106" s="178"/>
      <c r="CH106" s="61">
        <f t="shared" si="84"/>
        <v>0</v>
      </c>
      <c r="CI106" s="200"/>
      <c r="CJ106" s="294"/>
      <c r="CK106" s="346">
        <f t="shared" si="56"/>
        <v>0</v>
      </c>
    </row>
    <row r="107" spans="1:89" ht="13.5" customHeight="1" thickBot="1" x14ac:dyDescent="0.25">
      <c r="A107" s="4"/>
      <c r="B107" s="201"/>
      <c r="C107" s="133"/>
      <c r="D107" s="133"/>
      <c r="E107" s="351" t="s">
        <v>321</v>
      </c>
      <c r="F107" s="351"/>
      <c r="G107" s="249">
        <v>192.5</v>
      </c>
      <c r="H107" s="120"/>
      <c r="I107" s="249">
        <v>1309.47</v>
      </c>
      <c r="J107" s="120"/>
      <c r="K107" s="249">
        <f>ROUND((G107-I107),5)</f>
        <v>-1116.97</v>
      </c>
      <c r="L107" s="120"/>
      <c r="M107" s="333">
        <f>ROUND(IF(I107=0, IF(G107=0, 0, 1), G107/I107),5)</f>
        <v>0.14701</v>
      </c>
      <c r="N107" s="120"/>
      <c r="O107" s="249">
        <v>981.95</v>
      </c>
      <c r="P107" s="120"/>
      <c r="Q107" s="249">
        <v>1309.45</v>
      </c>
      <c r="R107" s="120"/>
      <c r="S107" s="249">
        <f>ROUND((O107-Q107),5)</f>
        <v>-327.5</v>
      </c>
      <c r="T107" s="120"/>
      <c r="U107" s="333">
        <f>ROUND(IF(Q107=0, IF(O107=0, 0, 1), O107/Q107),5)</f>
        <v>0.74988999999999995</v>
      </c>
      <c r="V107" s="120"/>
      <c r="W107" s="34">
        <v>167.65</v>
      </c>
      <c r="X107" s="34"/>
      <c r="Y107" s="34">
        <v>1309.45</v>
      </c>
      <c r="Z107" s="34"/>
      <c r="AA107" s="34">
        <f>ROUND((W107-Y107),5)</f>
        <v>-1141.8</v>
      </c>
      <c r="AB107" s="34"/>
      <c r="AC107" s="34"/>
      <c r="AD107" s="34"/>
      <c r="AE107" s="34"/>
      <c r="AF107" s="49"/>
      <c r="AG107" s="50"/>
      <c r="AH107" s="54"/>
      <c r="AI107" s="54"/>
      <c r="AJ107" s="54"/>
      <c r="AK107" s="54"/>
      <c r="AL107" s="54">
        <v>15713.42</v>
      </c>
      <c r="AM107" s="54"/>
      <c r="AN107" s="54">
        <v>2195.5</v>
      </c>
      <c r="AO107" s="54"/>
      <c r="AP107" s="54">
        <v>1347.6</v>
      </c>
      <c r="AQ107" s="54"/>
      <c r="AR107" s="54">
        <f>ROUND(I107+Q107+Y107,5)</f>
        <v>3928.37</v>
      </c>
      <c r="AS107" s="54">
        <f>AP107*2</f>
        <v>2695.2</v>
      </c>
      <c r="AT107" s="54"/>
      <c r="AU107" s="55"/>
      <c r="AV107" s="54">
        <v>8100</v>
      </c>
      <c r="AW107" s="55"/>
      <c r="AX107" s="56">
        <f>AN107-AL107</f>
        <v>-13517.92</v>
      </c>
      <c r="AY107" s="88"/>
      <c r="AZ107" s="89">
        <v>18859.52</v>
      </c>
      <c r="BA107" s="54"/>
      <c r="BB107" s="54"/>
      <c r="BC107" s="60"/>
      <c r="BD107" s="54">
        <v>29674.63</v>
      </c>
      <c r="BE107" s="54"/>
      <c r="BF107" s="54"/>
      <c r="BG107" s="54">
        <v>8100</v>
      </c>
      <c r="BH107" s="54"/>
      <c r="BI107" s="57">
        <v>19144.96</v>
      </c>
      <c r="BJ107" s="54"/>
      <c r="BK107" s="54">
        <v>10500</v>
      </c>
      <c r="BL107" s="54"/>
      <c r="BM107" s="58">
        <f t="shared" ref="BM107:BM109" si="85">BK107-BG107</f>
        <v>2400</v>
      </c>
      <c r="BN107" s="58"/>
      <c r="BO107" s="54">
        <v>5170.46</v>
      </c>
      <c r="BP107" s="54"/>
      <c r="BQ107" s="66">
        <v>17122.099999999999</v>
      </c>
      <c r="BR107" s="66"/>
      <c r="BS107" s="66">
        <f t="shared" si="49"/>
        <v>6622.0999999999985</v>
      </c>
      <c r="BT107" s="58"/>
      <c r="BU107" s="54">
        <v>18000</v>
      </c>
      <c r="BV107" s="58"/>
      <c r="BW107" s="58">
        <f t="shared" si="71"/>
        <v>7500</v>
      </c>
      <c r="BX107" s="58"/>
      <c r="BY107" s="91" t="s">
        <v>283</v>
      </c>
      <c r="BZ107" s="66">
        <v>12142.59</v>
      </c>
      <c r="CA107" s="66"/>
      <c r="CB107" s="54">
        <v>18000</v>
      </c>
      <c r="CC107" s="54"/>
      <c r="CD107" s="54">
        <v>6710.68</v>
      </c>
      <c r="CE107" s="54"/>
      <c r="CF107" s="54">
        <v>25500</v>
      </c>
      <c r="CG107" s="60"/>
      <c r="CH107" s="61">
        <f t="shared" si="84"/>
        <v>7500</v>
      </c>
      <c r="CI107" s="200"/>
      <c r="CJ107" s="295" t="s">
        <v>204</v>
      </c>
      <c r="CK107" s="346">
        <f t="shared" si="56"/>
        <v>2125</v>
      </c>
    </row>
    <row r="108" spans="1:89" ht="13.5" customHeight="1" x14ac:dyDescent="0.2">
      <c r="A108" s="4"/>
      <c r="B108" s="201"/>
      <c r="C108" s="133"/>
      <c r="D108" s="133"/>
      <c r="E108" s="351" t="s">
        <v>75</v>
      </c>
      <c r="F108" s="351"/>
      <c r="G108" s="119">
        <v>1561.13</v>
      </c>
      <c r="H108" s="120"/>
      <c r="I108" s="119">
        <v>2331.9899999999998</v>
      </c>
      <c r="J108" s="120"/>
      <c r="K108" s="119">
        <f>ROUND((G108-I108),5)</f>
        <v>-770.86</v>
      </c>
      <c r="L108" s="120"/>
      <c r="M108" s="121">
        <f>ROUND(IF(I108=0, IF(G108=0, 0, 1), G108/I108),5)</f>
        <v>0.66944000000000004</v>
      </c>
      <c r="N108" s="120"/>
      <c r="O108" s="119">
        <v>1950.89</v>
      </c>
      <c r="P108" s="120"/>
      <c r="Q108" s="119">
        <v>2331.9899999999998</v>
      </c>
      <c r="R108" s="120"/>
      <c r="S108" s="119">
        <f>ROUND((O108-Q108),5)</f>
        <v>-381.1</v>
      </c>
      <c r="T108" s="120"/>
      <c r="U108" s="121">
        <f>ROUND(IF(Q108=0, IF(O108=0, 0, 1), O108/Q108),5)</f>
        <v>0.83657999999999999</v>
      </c>
      <c r="V108" s="120"/>
      <c r="W108" s="34">
        <v>1444.01</v>
      </c>
      <c r="X108" s="34"/>
      <c r="Y108" s="34">
        <v>2331.9699999999998</v>
      </c>
      <c r="Z108" s="34"/>
      <c r="AA108" s="34">
        <f>ROUND((W108-Y108),5)</f>
        <v>-887.96</v>
      </c>
      <c r="AB108" s="34"/>
      <c r="AC108" s="34"/>
      <c r="AD108" s="34"/>
      <c r="AE108" s="34"/>
      <c r="AF108" s="49"/>
      <c r="AG108" s="50"/>
      <c r="AH108" s="54"/>
      <c r="AI108" s="54"/>
      <c r="AJ108" s="54"/>
      <c r="AK108" s="54"/>
      <c r="AL108" s="54">
        <v>27983.68</v>
      </c>
      <c r="AM108" s="54"/>
      <c r="AN108" s="54">
        <v>2255.64</v>
      </c>
      <c r="AO108" s="54"/>
      <c r="AP108" s="54">
        <v>7646.06</v>
      </c>
      <c r="AQ108" s="54"/>
      <c r="AR108" s="54">
        <f>ROUND(I108+Q108+Y108,5)</f>
        <v>6995.95</v>
      </c>
      <c r="AS108" s="54">
        <f>AP108*2</f>
        <v>15292.12</v>
      </c>
      <c r="AT108" s="54"/>
      <c r="AU108" s="55"/>
      <c r="AV108" s="54">
        <v>2500</v>
      </c>
      <c r="AW108" s="55"/>
      <c r="AX108" s="56">
        <f>AN108-AL108</f>
        <v>-25728.04</v>
      </c>
      <c r="AY108" s="88"/>
      <c r="AZ108" s="89">
        <v>7262.14</v>
      </c>
      <c r="BA108" s="54"/>
      <c r="BB108" s="54"/>
      <c r="BC108" s="60"/>
      <c r="BD108" s="54">
        <v>22724.639999999999</v>
      </c>
      <c r="BE108" s="54"/>
      <c r="BF108" s="54"/>
      <c r="BG108" s="54">
        <v>2500</v>
      </c>
      <c r="BH108" s="54"/>
      <c r="BI108" s="57">
        <v>12689.14</v>
      </c>
      <c r="BJ108" s="54"/>
      <c r="BK108" s="54">
        <v>9000</v>
      </c>
      <c r="BL108" s="54"/>
      <c r="BM108" s="58">
        <f t="shared" si="85"/>
        <v>6500</v>
      </c>
      <c r="BN108" s="58"/>
      <c r="BO108" s="54">
        <v>4284.51</v>
      </c>
      <c r="BP108" s="54"/>
      <c r="BQ108" s="66">
        <v>6366.11</v>
      </c>
      <c r="BR108" s="66"/>
      <c r="BS108" s="66">
        <f t="shared" si="49"/>
        <v>-2633.8900000000003</v>
      </c>
      <c r="BT108" s="58"/>
      <c r="BU108" s="54">
        <v>3000</v>
      </c>
      <c r="BV108" s="58"/>
      <c r="BW108" s="58">
        <f t="shared" si="71"/>
        <v>-6000</v>
      </c>
      <c r="BX108" s="165"/>
      <c r="BY108" s="91" t="s">
        <v>283</v>
      </c>
      <c r="BZ108" s="66">
        <v>4895</v>
      </c>
      <c r="CA108" s="66"/>
      <c r="CB108" s="54">
        <v>3000</v>
      </c>
      <c r="CC108" s="54"/>
      <c r="CD108" s="54">
        <v>8185</v>
      </c>
      <c r="CE108" s="54"/>
      <c r="CF108" s="54">
        <v>3000</v>
      </c>
      <c r="CG108" s="60"/>
      <c r="CH108" s="61">
        <f t="shared" si="84"/>
        <v>0</v>
      </c>
      <c r="CI108" s="200"/>
      <c r="CJ108" s="295" t="s">
        <v>204</v>
      </c>
      <c r="CK108" s="346">
        <f t="shared" si="56"/>
        <v>250</v>
      </c>
    </row>
    <row r="109" spans="1:89" ht="13.5" customHeight="1" thickBot="1" x14ac:dyDescent="0.25">
      <c r="A109" s="4"/>
      <c r="B109" s="201"/>
      <c r="C109" s="133"/>
      <c r="D109" s="133"/>
      <c r="E109" s="351" t="s">
        <v>74</v>
      </c>
      <c r="F109" s="351"/>
      <c r="G109" s="119">
        <v>0</v>
      </c>
      <c r="H109" s="120"/>
      <c r="I109" s="119">
        <v>1008.38</v>
      </c>
      <c r="J109" s="120"/>
      <c r="K109" s="119">
        <f t="shared" ref="K109:K123" si="86">ROUND((G109-I109),5)</f>
        <v>-1008.38</v>
      </c>
      <c r="L109" s="120"/>
      <c r="M109" s="121">
        <f t="shared" ref="M109:M123" si="87">ROUND(IF(I109=0, IF(G109=0, 0, 1), G109/I109),5)</f>
        <v>0</v>
      </c>
      <c r="N109" s="120"/>
      <c r="O109" s="119">
        <v>345</v>
      </c>
      <c r="P109" s="120"/>
      <c r="Q109" s="119">
        <v>1008.42</v>
      </c>
      <c r="R109" s="120"/>
      <c r="S109" s="119">
        <f t="shared" ref="S109:S123" si="88">ROUND((O109-Q109),5)</f>
        <v>-663.42</v>
      </c>
      <c r="T109" s="120"/>
      <c r="U109" s="121">
        <f t="shared" ref="U109:U123" si="89">ROUND(IF(Q109=0, IF(O109=0, 0, 1), O109/Q109),5)</f>
        <v>0.34211999999999998</v>
      </c>
      <c r="V109" s="120"/>
      <c r="W109" s="34">
        <v>50</v>
      </c>
      <c r="X109" s="34"/>
      <c r="Y109" s="34">
        <v>1008.42</v>
      </c>
      <c r="Z109" s="34"/>
      <c r="AA109" s="34">
        <f t="shared" ref="AA109:AA123" si="90">ROUND((W109-Y109),5)</f>
        <v>-958.42</v>
      </c>
      <c r="AB109" s="34"/>
      <c r="AC109" s="34"/>
      <c r="AD109" s="34"/>
      <c r="AE109" s="34"/>
      <c r="AF109" s="146"/>
      <c r="AG109" s="147"/>
      <c r="AH109" s="222"/>
      <c r="AI109" s="222"/>
      <c r="AJ109" s="222"/>
      <c r="AK109" s="222"/>
      <c r="AL109" s="222">
        <v>12101</v>
      </c>
      <c r="AM109" s="222"/>
      <c r="AN109" s="222">
        <v>6632.02</v>
      </c>
      <c r="AO109" s="222"/>
      <c r="AP109" s="222">
        <v>1630.5</v>
      </c>
      <c r="AQ109" s="222"/>
      <c r="AR109" s="222">
        <f t="shared" ref="AR109:AR122" si="91">ROUND(I109+Q109+Y109,5)</f>
        <v>3025.22</v>
      </c>
      <c r="AS109" s="222">
        <f t="shared" ref="AS109:AS122" si="92">AP109*2</f>
        <v>3261</v>
      </c>
      <c r="AT109" s="222"/>
      <c r="AU109" s="262"/>
      <c r="AV109" s="93">
        <v>2500</v>
      </c>
      <c r="AW109" s="94"/>
      <c r="AX109" s="95">
        <f t="shared" si="73"/>
        <v>-5468.98</v>
      </c>
      <c r="AY109" s="96"/>
      <c r="AZ109" s="97">
        <v>10087.459999999999</v>
      </c>
      <c r="BA109" s="93"/>
      <c r="BB109" s="93"/>
      <c r="BC109" s="99"/>
      <c r="BD109" s="93">
        <v>20036.990000000002</v>
      </c>
      <c r="BE109" s="93"/>
      <c r="BF109" s="93"/>
      <c r="BG109" s="93">
        <v>2500</v>
      </c>
      <c r="BH109" s="93"/>
      <c r="BI109" s="100">
        <v>14836.18</v>
      </c>
      <c r="BJ109" s="93"/>
      <c r="BK109" s="93">
        <v>15000</v>
      </c>
      <c r="BL109" s="93"/>
      <c r="BM109" s="101">
        <f t="shared" si="85"/>
        <v>12500</v>
      </c>
      <c r="BN109" s="101"/>
      <c r="BO109" s="93">
        <v>10256.31</v>
      </c>
      <c r="BP109" s="93"/>
      <c r="BQ109" s="102">
        <v>14916.13</v>
      </c>
      <c r="BR109" s="102"/>
      <c r="BS109" s="102">
        <f t="shared" si="49"/>
        <v>-83.8700000000008</v>
      </c>
      <c r="BT109" s="101"/>
      <c r="BU109" s="93">
        <v>10000</v>
      </c>
      <c r="BV109" s="101"/>
      <c r="BW109" s="179">
        <f t="shared" si="71"/>
        <v>-5000</v>
      </c>
      <c r="BX109" s="180"/>
      <c r="BY109" s="181" t="s">
        <v>283</v>
      </c>
      <c r="BZ109" s="102">
        <v>11393.15</v>
      </c>
      <c r="CA109" s="102"/>
      <c r="CB109" s="93">
        <v>10000</v>
      </c>
      <c r="CC109" s="93"/>
      <c r="CD109" s="93">
        <v>9688.2199999999993</v>
      </c>
      <c r="CE109" s="93"/>
      <c r="CF109" s="93">
        <v>10000</v>
      </c>
      <c r="CG109" s="99"/>
      <c r="CH109" s="103">
        <f t="shared" si="84"/>
        <v>0</v>
      </c>
      <c r="CI109" s="129"/>
      <c r="CJ109" s="304" t="s">
        <v>204</v>
      </c>
      <c r="CK109" s="346">
        <f t="shared" si="56"/>
        <v>833.33333333333337</v>
      </c>
    </row>
    <row r="110" spans="1:89" ht="13.5" customHeight="1" x14ac:dyDescent="0.2">
      <c r="A110" s="4"/>
      <c r="B110" s="201"/>
      <c r="C110" s="133"/>
      <c r="D110" s="133" t="s">
        <v>222</v>
      </c>
      <c r="E110" s="134"/>
      <c r="F110" s="334"/>
      <c r="G110" s="335">
        <f>ROUND(SUM(G106:G109),5)</f>
        <v>1753.63</v>
      </c>
      <c r="H110" s="336"/>
      <c r="I110" s="335">
        <f>ROUND(SUM(I106:I109),5)</f>
        <v>4649.84</v>
      </c>
      <c r="J110" s="336"/>
      <c r="K110" s="335">
        <f t="shared" si="86"/>
        <v>-2896.21</v>
      </c>
      <c r="L110" s="336"/>
      <c r="M110" s="337">
        <f t="shared" si="87"/>
        <v>0.37713999999999998</v>
      </c>
      <c r="N110" s="336"/>
      <c r="O110" s="335">
        <f>ROUND(SUM(O106:O109),5)</f>
        <v>3277.84</v>
      </c>
      <c r="P110" s="336"/>
      <c r="Q110" s="335">
        <f>ROUND(SUM(Q106:Q109),5)</f>
        <v>4649.8599999999997</v>
      </c>
      <c r="R110" s="336"/>
      <c r="S110" s="335">
        <f t="shared" si="88"/>
        <v>-1372.02</v>
      </c>
      <c r="T110" s="336"/>
      <c r="U110" s="337">
        <f t="shared" si="89"/>
        <v>0.70492999999999995</v>
      </c>
      <c r="V110" s="336"/>
      <c r="W110" s="40">
        <f>ROUND(SUM(W106:W109),5)</f>
        <v>1661.66</v>
      </c>
      <c r="X110" s="40"/>
      <c r="Y110" s="40">
        <f>ROUND(SUM(Y106:Y109),5)</f>
        <v>4649.84</v>
      </c>
      <c r="Z110" s="40"/>
      <c r="AA110" s="40">
        <f t="shared" si="90"/>
        <v>-2988.18</v>
      </c>
      <c r="AB110" s="40"/>
      <c r="AC110" s="40"/>
      <c r="AD110" s="79">
        <f>SUM(AD109:AD109)</f>
        <v>0</v>
      </c>
      <c r="AE110" s="79"/>
      <c r="AF110" s="79"/>
      <c r="AG110" s="79"/>
      <c r="AH110" s="79">
        <f>SUM(AH109:AH109)</f>
        <v>0</v>
      </c>
      <c r="AI110" s="79"/>
      <c r="AJ110" s="79"/>
      <c r="AK110" s="79"/>
      <c r="AL110" s="79">
        <f>SUM(AL109:AL109)</f>
        <v>12101</v>
      </c>
      <c r="AM110" s="79"/>
      <c r="AN110" s="79">
        <f>SUM(AN109:AN109)</f>
        <v>6632.02</v>
      </c>
      <c r="AO110" s="79"/>
      <c r="AP110" s="79">
        <f>SUM(AP109:AP109)</f>
        <v>1630.5</v>
      </c>
      <c r="AQ110" s="79"/>
      <c r="AR110" s="79">
        <f t="shared" si="91"/>
        <v>13949.54</v>
      </c>
      <c r="AS110" s="79">
        <f t="shared" si="92"/>
        <v>3261</v>
      </c>
      <c r="AT110" s="79"/>
      <c r="AU110" s="80"/>
      <c r="AV110" s="79">
        <f>SUM(AV107:AV109)</f>
        <v>13100</v>
      </c>
      <c r="AW110" s="186"/>
      <c r="AX110" s="88">
        <f t="shared" si="73"/>
        <v>-5468.98</v>
      </c>
      <c r="AY110" s="88"/>
      <c r="AZ110" s="89">
        <v>39407.629999999997</v>
      </c>
      <c r="BA110" s="82"/>
      <c r="BB110" s="82"/>
      <c r="BC110" s="82"/>
      <c r="BD110" s="79">
        <f>SUM(BD107:BD109)</f>
        <v>72436.260000000009</v>
      </c>
      <c r="BE110" s="79"/>
      <c r="BF110" s="79"/>
      <c r="BG110" s="79">
        <f>SUM(BG107:BG109)</f>
        <v>13100</v>
      </c>
      <c r="BH110" s="79"/>
      <c r="BI110" s="79">
        <f>SUM(BI107:BI109)</f>
        <v>46670.28</v>
      </c>
      <c r="BJ110" s="79"/>
      <c r="BK110" s="79">
        <f>SUM(BK107:BK109)</f>
        <v>34500</v>
      </c>
      <c r="BL110" s="79"/>
      <c r="BM110" s="84">
        <f>BK110-BG110</f>
        <v>21400</v>
      </c>
      <c r="BN110" s="84"/>
      <c r="BO110" s="79">
        <f>SUM(BO107:BO109)</f>
        <v>19711.28</v>
      </c>
      <c r="BP110" s="79"/>
      <c r="BQ110" s="85">
        <f>SUM(BQ107:BQ109)</f>
        <v>38404.339999999997</v>
      </c>
      <c r="BR110" s="85"/>
      <c r="BS110" s="85">
        <f t="shared" si="49"/>
        <v>3904.3399999999965</v>
      </c>
      <c r="BT110" s="84"/>
      <c r="BU110" s="79">
        <f>SUM(BU107:BU109)</f>
        <v>31000</v>
      </c>
      <c r="BV110" s="84"/>
      <c r="BW110" s="84">
        <f t="shared" si="71"/>
        <v>-3500</v>
      </c>
      <c r="BX110" s="84"/>
      <c r="BY110" s="86"/>
      <c r="BZ110" s="79">
        <f>SUM(BZ107:BZ109)</f>
        <v>28430.739999999998</v>
      </c>
      <c r="CA110" s="79"/>
      <c r="CB110" s="79">
        <f>SUM(CB107:CB109)</f>
        <v>31000</v>
      </c>
      <c r="CC110" s="79"/>
      <c r="CD110" s="79">
        <f>SUM(CD107:CD109)</f>
        <v>24583.9</v>
      </c>
      <c r="CE110" s="79"/>
      <c r="CF110" s="79">
        <f>SUM(CF107:CF109)</f>
        <v>38500</v>
      </c>
      <c r="CG110" s="83"/>
      <c r="CH110" s="112">
        <f t="shared" si="84"/>
        <v>7500</v>
      </c>
      <c r="CI110" s="199"/>
      <c r="CJ110" s="299"/>
      <c r="CK110" s="346">
        <f t="shared" si="56"/>
        <v>3208.3333333333335</v>
      </c>
    </row>
    <row r="111" spans="1:89" ht="13.5" customHeight="1" x14ac:dyDescent="0.2">
      <c r="A111" s="4"/>
      <c r="B111" s="201"/>
      <c r="C111" s="133"/>
      <c r="D111" s="133" t="s">
        <v>184</v>
      </c>
      <c r="E111" s="134"/>
      <c r="F111" s="133"/>
      <c r="G111" s="119"/>
      <c r="H111" s="120"/>
      <c r="I111" s="119"/>
      <c r="J111" s="120"/>
      <c r="K111" s="119"/>
      <c r="L111" s="120"/>
      <c r="M111" s="121"/>
      <c r="N111" s="120"/>
      <c r="O111" s="119"/>
      <c r="P111" s="120"/>
      <c r="Q111" s="119"/>
      <c r="R111" s="120"/>
      <c r="S111" s="119"/>
      <c r="T111" s="120"/>
      <c r="U111" s="121"/>
      <c r="V111" s="120"/>
      <c r="W111" s="34"/>
      <c r="X111" s="34"/>
      <c r="Y111" s="34"/>
      <c r="Z111" s="34"/>
      <c r="AA111" s="34"/>
      <c r="AB111" s="34"/>
      <c r="AC111" s="34"/>
      <c r="AD111" s="34"/>
      <c r="AE111" s="34"/>
      <c r="AF111" s="39"/>
      <c r="AG111" s="40"/>
      <c r="AH111" s="79"/>
      <c r="AI111" s="79"/>
      <c r="AJ111" s="79"/>
      <c r="AK111" s="79"/>
      <c r="AL111" s="79"/>
      <c r="AM111" s="79"/>
      <c r="AN111" s="79"/>
      <c r="AO111" s="79"/>
      <c r="AP111" s="79"/>
      <c r="AQ111" s="79"/>
      <c r="AR111" s="79"/>
      <c r="AS111" s="79"/>
      <c r="AT111" s="79"/>
      <c r="AU111" s="80"/>
      <c r="AV111" s="79"/>
      <c r="AW111" s="80"/>
      <c r="AX111" s="81">
        <f t="shared" si="73"/>
        <v>0</v>
      </c>
      <c r="AY111" s="88"/>
      <c r="AZ111" s="114"/>
      <c r="BA111" s="79"/>
      <c r="BB111" s="79"/>
      <c r="BC111" s="83"/>
      <c r="BD111" s="54"/>
      <c r="BE111" s="54"/>
      <c r="BF111" s="54"/>
      <c r="BG111" s="54"/>
      <c r="BH111" s="54"/>
      <c r="BI111" s="54"/>
      <c r="BJ111" s="54"/>
      <c r="BK111" s="54"/>
      <c r="BL111" s="54"/>
      <c r="BM111" s="58"/>
      <c r="BN111" s="58"/>
      <c r="BO111" s="54"/>
      <c r="BP111" s="54"/>
      <c r="BQ111" s="66"/>
      <c r="BR111" s="66"/>
      <c r="BS111" s="66"/>
      <c r="BT111" s="58"/>
      <c r="BU111" s="54"/>
      <c r="BV111" s="58"/>
      <c r="BW111" s="58"/>
      <c r="BX111" s="58"/>
      <c r="BY111" s="91"/>
      <c r="BZ111" s="66"/>
      <c r="CA111" s="66"/>
      <c r="CB111" s="54"/>
      <c r="CC111" s="54"/>
      <c r="CD111" s="54"/>
      <c r="CE111" s="54"/>
      <c r="CF111" s="54"/>
      <c r="CG111" s="60"/>
      <c r="CH111" s="61">
        <f t="shared" si="84"/>
        <v>0</v>
      </c>
      <c r="CI111" s="200"/>
      <c r="CJ111" s="309"/>
      <c r="CK111" s="346">
        <f t="shared" si="56"/>
        <v>0</v>
      </c>
    </row>
    <row r="112" spans="1:89" ht="13.5" customHeight="1" thickBot="1" x14ac:dyDescent="0.25">
      <c r="A112" s="4"/>
      <c r="B112" s="201"/>
      <c r="C112" s="133"/>
      <c r="D112" s="133"/>
      <c r="E112" s="351" t="s">
        <v>321</v>
      </c>
      <c r="F112" s="351"/>
      <c r="G112" s="249">
        <v>192.5</v>
      </c>
      <c r="H112" s="120"/>
      <c r="I112" s="249">
        <v>1309.47</v>
      </c>
      <c r="J112" s="120"/>
      <c r="K112" s="249">
        <f>ROUND((G112-I112),5)</f>
        <v>-1116.97</v>
      </c>
      <c r="L112" s="120"/>
      <c r="M112" s="333">
        <f>ROUND(IF(I112=0, IF(G112=0, 0, 1), G112/I112),5)</f>
        <v>0.14701</v>
      </c>
      <c r="N112" s="120"/>
      <c r="O112" s="249">
        <v>981.95</v>
      </c>
      <c r="P112" s="120"/>
      <c r="Q112" s="249">
        <v>1309.45</v>
      </c>
      <c r="R112" s="120"/>
      <c r="S112" s="249">
        <f>ROUND((O112-Q112),5)</f>
        <v>-327.5</v>
      </c>
      <c r="T112" s="120"/>
      <c r="U112" s="333">
        <f>ROUND(IF(Q112=0, IF(O112=0, 0, 1), O112/Q112),5)</f>
        <v>0.74988999999999995</v>
      </c>
      <c r="V112" s="120"/>
      <c r="W112" s="34">
        <v>167.65</v>
      </c>
      <c r="X112" s="34"/>
      <c r="Y112" s="34">
        <v>1309.45</v>
      </c>
      <c r="Z112" s="34"/>
      <c r="AA112" s="34">
        <f>ROUND((W112-Y112),5)</f>
        <v>-1141.8</v>
      </c>
      <c r="AB112" s="34"/>
      <c r="AC112" s="34"/>
      <c r="AD112" s="34"/>
      <c r="AE112" s="34"/>
      <c r="AF112" s="49"/>
      <c r="AG112" s="50"/>
      <c r="AH112" s="54"/>
      <c r="AI112" s="54"/>
      <c r="AJ112" s="54"/>
      <c r="AK112" s="54"/>
      <c r="AL112" s="54"/>
      <c r="AM112" s="54"/>
      <c r="AN112" s="54"/>
      <c r="AO112" s="54"/>
      <c r="AP112" s="54"/>
      <c r="AQ112" s="54"/>
      <c r="AR112" s="54"/>
      <c r="AS112" s="54"/>
      <c r="AT112" s="54"/>
      <c r="AU112" s="55"/>
      <c r="AV112" s="54"/>
      <c r="AW112" s="55"/>
      <c r="AX112" s="56"/>
      <c r="AY112" s="88"/>
      <c r="AZ112" s="89"/>
      <c r="BA112" s="54"/>
      <c r="BB112" s="54"/>
      <c r="BC112" s="60"/>
      <c r="BD112" s="54"/>
      <c r="BE112" s="54"/>
      <c r="BF112" s="54"/>
      <c r="BG112" s="54"/>
      <c r="BH112" s="54"/>
      <c r="BI112" s="57"/>
      <c r="BJ112" s="54"/>
      <c r="BK112" s="54">
        <v>4400</v>
      </c>
      <c r="BL112" s="54"/>
      <c r="BM112" s="58">
        <f>BK112-BI112</f>
        <v>4400</v>
      </c>
      <c r="BN112" s="58"/>
      <c r="BO112" s="54">
        <v>0</v>
      </c>
      <c r="BP112" s="54"/>
      <c r="BQ112" s="66">
        <v>610.23</v>
      </c>
      <c r="BR112" s="66"/>
      <c r="BS112" s="66">
        <f t="shared" si="49"/>
        <v>-3789.77</v>
      </c>
      <c r="BT112" s="58"/>
      <c r="BU112" s="54">
        <v>4400</v>
      </c>
      <c r="BV112" s="58"/>
      <c r="BW112" s="58">
        <f t="shared" si="71"/>
        <v>0</v>
      </c>
      <c r="BX112" s="165"/>
      <c r="BY112" s="352" t="s">
        <v>284</v>
      </c>
      <c r="BZ112" s="66">
        <v>3230</v>
      </c>
      <c r="CA112" s="66"/>
      <c r="CB112" s="54">
        <v>4400</v>
      </c>
      <c r="CC112" s="54"/>
      <c r="CD112" s="54">
        <v>1648.9</v>
      </c>
      <c r="CE112" s="54"/>
      <c r="CF112" s="54">
        <v>5000</v>
      </c>
      <c r="CG112" s="60"/>
      <c r="CH112" s="61">
        <f t="shared" si="84"/>
        <v>600</v>
      </c>
      <c r="CI112" s="200"/>
      <c r="CJ112" s="308" t="s">
        <v>237</v>
      </c>
      <c r="CK112" s="346">
        <f t="shared" si="56"/>
        <v>416.66666666666669</v>
      </c>
    </row>
    <row r="113" spans="1:89" ht="15" customHeight="1" thickBot="1" x14ac:dyDescent="0.25">
      <c r="A113" s="4"/>
      <c r="B113" s="201"/>
      <c r="C113" s="133"/>
      <c r="D113" s="133"/>
      <c r="E113" s="351" t="s">
        <v>187</v>
      </c>
      <c r="F113" s="351"/>
      <c r="G113" s="119">
        <v>1561.13</v>
      </c>
      <c r="H113" s="120"/>
      <c r="I113" s="119">
        <v>2331.9899999999998</v>
      </c>
      <c r="J113" s="120"/>
      <c r="K113" s="119">
        <f>ROUND((G113-I113),5)</f>
        <v>-770.86</v>
      </c>
      <c r="L113" s="120"/>
      <c r="M113" s="121">
        <f>ROUND(IF(I113=0, IF(G113=0, 0, 1), G113/I113),5)</f>
        <v>0.66944000000000004</v>
      </c>
      <c r="N113" s="120"/>
      <c r="O113" s="119">
        <v>1950.89</v>
      </c>
      <c r="P113" s="120"/>
      <c r="Q113" s="119">
        <v>2331.9899999999998</v>
      </c>
      <c r="R113" s="120"/>
      <c r="S113" s="119">
        <f>ROUND((O113-Q113),5)</f>
        <v>-381.1</v>
      </c>
      <c r="T113" s="120"/>
      <c r="U113" s="121">
        <f>ROUND(IF(Q113=0, IF(O113=0, 0, 1), O113/Q113),5)</f>
        <v>0.83657999999999999</v>
      </c>
      <c r="V113" s="120"/>
      <c r="W113" s="34">
        <v>1444.01</v>
      </c>
      <c r="X113" s="34"/>
      <c r="Y113" s="34">
        <v>2331.9699999999998</v>
      </c>
      <c r="Z113" s="34"/>
      <c r="AA113" s="34">
        <f>ROUND((W113-Y113),5)</f>
        <v>-887.96</v>
      </c>
      <c r="AB113" s="34"/>
      <c r="AC113" s="34"/>
      <c r="AD113" s="34"/>
      <c r="AE113" s="34"/>
      <c r="AF113" s="49"/>
      <c r="AG113" s="50"/>
      <c r="AH113" s="54"/>
      <c r="AI113" s="54"/>
      <c r="AJ113" s="54"/>
      <c r="AK113" s="54"/>
      <c r="AL113" s="54"/>
      <c r="AM113" s="54"/>
      <c r="AN113" s="54"/>
      <c r="AO113" s="54"/>
      <c r="AP113" s="54"/>
      <c r="AQ113" s="54"/>
      <c r="AR113" s="54"/>
      <c r="AS113" s="54"/>
      <c r="AT113" s="54"/>
      <c r="AU113" s="55"/>
      <c r="AV113" s="93"/>
      <c r="AW113" s="94"/>
      <c r="AX113" s="95"/>
      <c r="AY113" s="96"/>
      <c r="AZ113" s="97"/>
      <c r="BA113" s="93"/>
      <c r="BB113" s="93"/>
      <c r="BC113" s="99"/>
      <c r="BD113" s="93"/>
      <c r="BE113" s="93"/>
      <c r="BF113" s="93"/>
      <c r="BG113" s="93"/>
      <c r="BH113" s="93"/>
      <c r="BI113" s="100"/>
      <c r="BJ113" s="93"/>
      <c r="BK113" s="93">
        <v>3500</v>
      </c>
      <c r="BL113" s="93"/>
      <c r="BM113" s="101">
        <f t="shared" ref="BM113" si="93">BK113-BI113</f>
        <v>3500</v>
      </c>
      <c r="BN113" s="101"/>
      <c r="BO113" s="93">
        <v>0</v>
      </c>
      <c r="BP113" s="93"/>
      <c r="BQ113" s="102">
        <f t="shared" si="57"/>
        <v>0</v>
      </c>
      <c r="BR113" s="102"/>
      <c r="BS113" s="102">
        <f t="shared" si="49"/>
        <v>-3500</v>
      </c>
      <c r="BT113" s="101"/>
      <c r="BU113" s="93">
        <v>3500</v>
      </c>
      <c r="BV113" s="101"/>
      <c r="BW113" s="101">
        <f t="shared" si="71"/>
        <v>0</v>
      </c>
      <c r="BX113" s="84"/>
      <c r="BY113" s="353"/>
      <c r="BZ113" s="102">
        <f>BX113*2</f>
        <v>0</v>
      </c>
      <c r="CA113" s="102"/>
      <c r="CB113" s="93">
        <v>3500</v>
      </c>
      <c r="CC113" s="93"/>
      <c r="CD113" s="93">
        <v>18631.84</v>
      </c>
      <c r="CE113" s="93"/>
      <c r="CF113" s="93">
        <v>3500</v>
      </c>
      <c r="CG113" s="99"/>
      <c r="CH113" s="103">
        <f t="shared" si="84"/>
        <v>0</v>
      </c>
      <c r="CI113" s="129"/>
      <c r="CJ113" s="304" t="s">
        <v>204</v>
      </c>
      <c r="CK113" s="346">
        <f t="shared" si="56"/>
        <v>291.66666666666669</v>
      </c>
    </row>
    <row r="114" spans="1:89" ht="15" customHeight="1" thickBot="1" x14ac:dyDescent="0.25">
      <c r="A114" s="4"/>
      <c r="B114" s="201"/>
      <c r="C114" s="133"/>
      <c r="D114" s="133" t="s">
        <v>188</v>
      </c>
      <c r="E114" s="134"/>
      <c r="F114" s="133"/>
      <c r="G114" s="119">
        <f>ROUND(SUM(G110:G113),5)</f>
        <v>3507.26</v>
      </c>
      <c r="H114" s="120"/>
      <c r="I114" s="119">
        <f>ROUND(SUM(I110:I113),5)</f>
        <v>8291.2999999999993</v>
      </c>
      <c r="J114" s="120"/>
      <c r="K114" s="119">
        <f t="shared" ref="K114" si="94">ROUND((G114-I114),5)</f>
        <v>-4784.04</v>
      </c>
      <c r="L114" s="120"/>
      <c r="M114" s="121">
        <f t="shared" ref="M114" si="95">ROUND(IF(I114=0, IF(G114=0, 0, 1), G114/I114),5)</f>
        <v>0.42299999999999999</v>
      </c>
      <c r="N114" s="120"/>
      <c r="O114" s="119">
        <f>ROUND(SUM(O110:O113),5)</f>
        <v>6210.68</v>
      </c>
      <c r="P114" s="120"/>
      <c r="Q114" s="119">
        <f>ROUND(SUM(Q110:Q113),5)</f>
        <v>8291.2999999999993</v>
      </c>
      <c r="R114" s="120"/>
      <c r="S114" s="119">
        <f t="shared" ref="S114" si="96">ROUND((O114-Q114),5)</f>
        <v>-2080.62</v>
      </c>
      <c r="T114" s="120"/>
      <c r="U114" s="121">
        <f t="shared" ref="U114" si="97">ROUND(IF(Q114=0, IF(O114=0, 0, 1), O114/Q114),5)</f>
        <v>0.74905999999999995</v>
      </c>
      <c r="V114" s="120"/>
      <c r="W114" s="77">
        <f>ROUND(SUM(W110:W113),5)</f>
        <v>3273.32</v>
      </c>
      <c r="X114" s="77"/>
      <c r="Y114" s="77">
        <f>ROUND(SUM(Y110:Y113),5)</f>
        <v>8291.26</v>
      </c>
      <c r="Z114" s="77"/>
      <c r="AA114" s="77">
        <f t="shared" ref="AA114" si="98">ROUND((W114-Y114),5)</f>
        <v>-5017.9399999999996</v>
      </c>
      <c r="AB114" s="77"/>
      <c r="AC114" s="77"/>
      <c r="AD114" s="174">
        <f>SUM(AD113:AD113)</f>
        <v>0</v>
      </c>
      <c r="AE114" s="174"/>
      <c r="AF114" s="188"/>
      <c r="AG114" s="167"/>
      <c r="AH114" s="167">
        <f>SUM(AH113:AH113)</f>
        <v>0</v>
      </c>
      <c r="AI114" s="167"/>
      <c r="AJ114" s="167"/>
      <c r="AK114" s="167"/>
      <c r="AL114" s="167">
        <f>SUM(AL112:AL113)</f>
        <v>0</v>
      </c>
      <c r="AM114" s="167"/>
      <c r="AN114" s="167">
        <f t="shared" ref="AN114:BH114" si="99">SUM(AN112:AN113)</f>
        <v>0</v>
      </c>
      <c r="AO114" s="167">
        <f t="shared" si="99"/>
        <v>0</v>
      </c>
      <c r="AP114" s="167">
        <f t="shared" si="99"/>
        <v>0</v>
      </c>
      <c r="AQ114" s="167">
        <f t="shared" si="99"/>
        <v>0</v>
      </c>
      <c r="AR114" s="167">
        <f t="shared" si="99"/>
        <v>0</v>
      </c>
      <c r="AS114" s="167">
        <f t="shared" si="99"/>
        <v>0</v>
      </c>
      <c r="AT114" s="167">
        <f t="shared" si="99"/>
        <v>0</v>
      </c>
      <c r="AU114" s="167">
        <f t="shared" si="99"/>
        <v>0</v>
      </c>
      <c r="AV114" s="167">
        <f t="shared" si="99"/>
        <v>0</v>
      </c>
      <c r="AW114" s="167">
        <f t="shared" si="99"/>
        <v>0</v>
      </c>
      <c r="AX114" s="167">
        <f t="shared" si="99"/>
        <v>0</v>
      </c>
      <c r="AY114" s="167">
        <f t="shared" si="99"/>
        <v>0</v>
      </c>
      <c r="AZ114" s="167">
        <f t="shared" si="99"/>
        <v>0</v>
      </c>
      <c r="BA114" s="167">
        <f t="shared" si="99"/>
        <v>0</v>
      </c>
      <c r="BB114" s="167">
        <f t="shared" si="99"/>
        <v>0</v>
      </c>
      <c r="BC114" s="190">
        <f t="shared" si="99"/>
        <v>0</v>
      </c>
      <c r="BD114" s="167">
        <f t="shared" si="99"/>
        <v>0</v>
      </c>
      <c r="BE114" s="167">
        <f t="shared" si="99"/>
        <v>0</v>
      </c>
      <c r="BF114" s="167">
        <f t="shared" si="99"/>
        <v>0</v>
      </c>
      <c r="BG114" s="167">
        <f t="shared" si="99"/>
        <v>0</v>
      </c>
      <c r="BH114" s="167">
        <f t="shared" si="99"/>
        <v>0</v>
      </c>
      <c r="BI114" s="167"/>
      <c r="BJ114" s="167">
        <f>SUM(BJ112:BJ113)</f>
        <v>0</v>
      </c>
      <c r="BK114" s="167">
        <f>SUM(BK112:BK113)</f>
        <v>7900</v>
      </c>
      <c r="BL114" s="167">
        <f>SUM(BL112:BL113)</f>
        <v>0</v>
      </c>
      <c r="BM114" s="191">
        <f>SUM(BM112:BM113)</f>
        <v>7900</v>
      </c>
      <c r="BN114" s="191"/>
      <c r="BO114" s="167"/>
      <c r="BP114" s="167"/>
      <c r="BQ114" s="192">
        <f>SUM(BQ112:BQ113)</f>
        <v>610.23</v>
      </c>
      <c r="BR114" s="192"/>
      <c r="BS114" s="192">
        <f t="shared" si="49"/>
        <v>-7289.77</v>
      </c>
      <c r="BT114" s="191"/>
      <c r="BU114" s="167">
        <f>SUM(BU112:BU113)</f>
        <v>7900</v>
      </c>
      <c r="BV114" s="191"/>
      <c r="BW114" s="191">
        <f t="shared" si="71"/>
        <v>0</v>
      </c>
      <c r="BX114" s="58"/>
      <c r="BY114" s="193"/>
      <c r="BZ114" s="192">
        <f>SUM(BZ112:BZ113)</f>
        <v>3230</v>
      </c>
      <c r="CA114" s="192"/>
      <c r="CB114" s="167">
        <f>SUM(CB112:CB113)</f>
        <v>7900</v>
      </c>
      <c r="CC114" s="167"/>
      <c r="CD114" s="167">
        <f>SUM(CD112:CD113)</f>
        <v>20280.740000000002</v>
      </c>
      <c r="CE114" s="167"/>
      <c r="CF114" s="167">
        <f>SUM(CF112:CF113)</f>
        <v>8500</v>
      </c>
      <c r="CG114" s="107"/>
      <c r="CH114" s="103">
        <f t="shared" si="84"/>
        <v>600</v>
      </c>
      <c r="CI114" s="96"/>
      <c r="CJ114" s="305"/>
      <c r="CK114" s="346">
        <f t="shared" si="56"/>
        <v>708.33333333333337</v>
      </c>
    </row>
    <row r="115" spans="1:89" ht="11.25" customHeight="1" x14ac:dyDescent="0.2">
      <c r="A115" s="4"/>
      <c r="B115" s="201"/>
      <c r="C115" s="133" t="s">
        <v>216</v>
      </c>
      <c r="D115" s="133"/>
      <c r="E115" s="134"/>
      <c r="F115" s="133"/>
      <c r="G115" s="119" t="e">
        <f>ROUND(#REF!+G110+G100+G105,5)</f>
        <v>#REF!</v>
      </c>
      <c r="H115" s="120"/>
      <c r="I115" s="119" t="e">
        <f>ROUND(#REF!+I110+I100+I105,5)</f>
        <v>#REF!</v>
      </c>
      <c r="J115" s="120"/>
      <c r="K115" s="119" t="e">
        <f t="shared" si="86"/>
        <v>#REF!</v>
      </c>
      <c r="L115" s="120"/>
      <c r="M115" s="121" t="e">
        <f t="shared" si="87"/>
        <v>#REF!</v>
      </c>
      <c r="N115" s="120"/>
      <c r="O115" s="119" t="e">
        <f>ROUND(#REF!+O110+O100+O105,5)</f>
        <v>#REF!</v>
      </c>
      <c r="P115" s="120"/>
      <c r="Q115" s="119" t="e">
        <f>ROUND(#REF!+Q110+Q100+Q105,5)</f>
        <v>#REF!</v>
      </c>
      <c r="R115" s="120"/>
      <c r="S115" s="119" t="e">
        <f t="shared" si="88"/>
        <v>#REF!</v>
      </c>
      <c r="T115" s="120"/>
      <c r="U115" s="121" t="e">
        <f t="shared" si="89"/>
        <v>#REF!</v>
      </c>
      <c r="V115" s="120"/>
      <c r="W115" s="34">
        <f>W110+W105+W100</f>
        <v>6247.56</v>
      </c>
      <c r="X115" s="34"/>
      <c r="Y115" s="34" t="e">
        <f>ROUND(#REF!+Y110+Y100+Y105,5)</f>
        <v>#REF!</v>
      </c>
      <c r="Z115" s="34"/>
      <c r="AA115" s="34" t="e">
        <f t="shared" si="90"/>
        <v>#REF!</v>
      </c>
      <c r="AB115" s="34"/>
      <c r="AC115" s="34"/>
      <c r="AD115" s="34">
        <v>100000</v>
      </c>
      <c r="AE115" s="34"/>
      <c r="AF115" s="39">
        <v>99382.16</v>
      </c>
      <c r="AG115" s="40"/>
      <c r="AH115" s="79">
        <f>AH110+AH105+AH100</f>
        <v>85000</v>
      </c>
      <c r="AI115" s="79"/>
      <c r="AJ115" s="79">
        <v>63908.49</v>
      </c>
      <c r="AK115" s="79"/>
      <c r="AL115" s="79">
        <f>AL110+AL105+AL100</f>
        <v>84601</v>
      </c>
      <c r="AM115" s="79"/>
      <c r="AN115" s="79">
        <f>AN110+AN105+AN100</f>
        <v>59546.03</v>
      </c>
      <c r="AO115" s="79"/>
      <c r="AP115" s="79">
        <f>AP110+AP105+AP100</f>
        <v>25781.8</v>
      </c>
      <c r="AQ115" s="79"/>
      <c r="AR115" s="79" t="e">
        <f t="shared" si="91"/>
        <v>#REF!</v>
      </c>
      <c r="AS115" s="79">
        <f t="shared" si="92"/>
        <v>51563.6</v>
      </c>
      <c r="AT115" s="79"/>
      <c r="AU115" s="80"/>
      <c r="AV115" s="79">
        <f>AV110+AV105+AV100</f>
        <v>68000</v>
      </c>
      <c r="AW115" s="80"/>
      <c r="AX115" s="81">
        <f t="shared" si="73"/>
        <v>-25054.97</v>
      </c>
      <c r="AY115" s="88"/>
      <c r="AZ115" s="89" t="e">
        <f>AZ110+AZ105+AZ100</f>
        <v>#REF!</v>
      </c>
      <c r="BA115" s="79"/>
      <c r="BB115" s="79"/>
      <c r="BC115" s="83"/>
      <c r="BD115" s="79">
        <f>BD110+BD105+BD100</f>
        <v>91529.07</v>
      </c>
      <c r="BE115" s="79"/>
      <c r="BF115" s="79"/>
      <c r="BG115" s="79">
        <f>BG110+BG105+BG100</f>
        <v>45500</v>
      </c>
      <c r="BH115" s="79"/>
      <c r="BI115" s="79">
        <f>BI110+BI105+BI100</f>
        <v>63603.770000000004</v>
      </c>
      <c r="BJ115" s="79"/>
      <c r="BK115" s="79">
        <f>BK110+BK105+BK100+BK114</f>
        <v>55900</v>
      </c>
      <c r="BL115" s="79"/>
      <c r="BM115" s="84">
        <f>BK115-BG115</f>
        <v>10400</v>
      </c>
      <c r="BN115" s="84"/>
      <c r="BO115" s="79" t="e">
        <f>BO110+BO105+BO100+BO114</f>
        <v>#REF!</v>
      </c>
      <c r="BP115" s="79"/>
      <c r="BQ115" s="85">
        <f>BQ114+BQ110+BQ105+BQ100</f>
        <v>58355.65</v>
      </c>
      <c r="BR115" s="85"/>
      <c r="BS115" s="85">
        <f t="shared" si="49"/>
        <v>2455.6500000000015</v>
      </c>
      <c r="BT115" s="84"/>
      <c r="BU115" s="79" t="e">
        <f>BU110+BU105+BU100+BU114</f>
        <v>#REF!</v>
      </c>
      <c r="BV115" s="84"/>
      <c r="BW115" s="84" t="e">
        <f t="shared" si="71"/>
        <v>#REF!</v>
      </c>
      <c r="BX115" s="58"/>
      <c r="BY115" s="91"/>
      <c r="BZ115" s="79" t="e">
        <f>BZ110+BZ105+BZ100+BZ114</f>
        <v>#REF!</v>
      </c>
      <c r="CA115" s="79"/>
      <c r="CB115" s="79" t="e">
        <f>CB110+CB105+CB100+CB114</f>
        <v>#REF!</v>
      </c>
      <c r="CC115" s="79"/>
      <c r="CD115" s="79" t="e">
        <f>CD110+CD105+CD100+CD114</f>
        <v>#REF!</v>
      </c>
      <c r="CE115" s="79"/>
      <c r="CF115" s="79">
        <f>CF110+CF105+CF100+CF114</f>
        <v>76500</v>
      </c>
      <c r="CG115" s="83"/>
      <c r="CH115" s="112" t="e">
        <f t="shared" si="84"/>
        <v>#REF!</v>
      </c>
      <c r="CI115" s="199"/>
      <c r="CJ115" s="299"/>
      <c r="CK115" s="346">
        <f t="shared" si="56"/>
        <v>6375</v>
      </c>
    </row>
    <row r="116" spans="1:89" s="7" customFormat="1" ht="15" customHeight="1" x14ac:dyDescent="0.2">
      <c r="A116" s="6"/>
      <c r="B116" s="201" t="s">
        <v>190</v>
      </c>
      <c r="C116" s="133"/>
      <c r="D116" s="133"/>
      <c r="E116" s="134"/>
      <c r="F116" s="133"/>
      <c r="G116" s="119"/>
      <c r="H116" s="120"/>
      <c r="I116" s="119"/>
      <c r="J116" s="120"/>
      <c r="K116" s="119"/>
      <c r="L116" s="120"/>
      <c r="M116" s="121"/>
      <c r="N116" s="120"/>
      <c r="O116" s="119"/>
      <c r="P116" s="120"/>
      <c r="Q116" s="119"/>
      <c r="R116" s="120"/>
      <c r="S116" s="119"/>
      <c r="T116" s="120"/>
      <c r="U116" s="121"/>
      <c r="V116" s="120"/>
      <c r="W116" s="34"/>
      <c r="X116" s="34"/>
      <c r="Y116" s="34"/>
      <c r="Z116" s="34"/>
      <c r="AA116" s="34"/>
      <c r="AB116" s="34"/>
      <c r="AC116" s="34"/>
      <c r="AD116" s="34"/>
      <c r="AE116" s="34"/>
      <c r="AF116" s="39"/>
      <c r="AG116" s="40"/>
      <c r="AH116" s="79"/>
      <c r="AI116" s="79"/>
      <c r="AJ116" s="79"/>
      <c r="AK116" s="79"/>
      <c r="AL116" s="79"/>
      <c r="AM116" s="79"/>
      <c r="AN116" s="79"/>
      <c r="AO116" s="79"/>
      <c r="AP116" s="79"/>
      <c r="AQ116" s="79"/>
      <c r="AR116" s="79"/>
      <c r="AS116" s="79"/>
      <c r="AT116" s="79"/>
      <c r="AU116" s="80"/>
      <c r="AV116" s="79"/>
      <c r="AW116" s="80"/>
      <c r="AX116" s="81"/>
      <c r="AY116" s="81"/>
      <c r="AZ116" s="79"/>
      <c r="BA116" s="79"/>
      <c r="BB116" s="79"/>
      <c r="BC116" s="83"/>
      <c r="BD116" s="79"/>
      <c r="BE116" s="79"/>
      <c r="BF116" s="79"/>
      <c r="BG116" s="79"/>
      <c r="BH116" s="79"/>
      <c r="BI116" s="79"/>
      <c r="BJ116" s="79"/>
      <c r="BK116" s="79"/>
      <c r="BL116" s="79"/>
      <c r="BM116" s="84"/>
      <c r="BN116" s="84"/>
      <c r="BO116" s="79"/>
      <c r="BP116" s="79"/>
      <c r="BQ116" s="85"/>
      <c r="BR116" s="85"/>
      <c r="BS116" s="85"/>
      <c r="BT116" s="84"/>
      <c r="BU116" s="79"/>
      <c r="BV116" s="84"/>
      <c r="BW116" s="84">
        <f t="shared" ref="BW116:BW121" si="100">BU116-BK116</f>
        <v>0</v>
      </c>
      <c r="BX116" s="58"/>
      <c r="BY116" s="90"/>
      <c r="BZ116" s="85"/>
      <c r="CA116" s="85"/>
      <c r="CB116" s="79"/>
      <c r="CC116" s="79"/>
      <c r="CD116" s="79"/>
      <c r="CE116" s="79"/>
      <c r="CF116" s="79"/>
      <c r="CG116" s="198"/>
      <c r="CH116" s="199"/>
      <c r="CI116" s="199"/>
      <c r="CJ116" s="311"/>
      <c r="CK116" s="346">
        <f t="shared" si="56"/>
        <v>0</v>
      </c>
    </row>
    <row r="117" spans="1:89" s="7" customFormat="1" ht="15" customHeight="1" x14ac:dyDescent="0.2">
      <c r="A117" s="6"/>
      <c r="B117" s="338"/>
      <c r="C117" s="351" t="s">
        <v>201</v>
      </c>
      <c r="D117" s="351"/>
      <c r="E117" s="351"/>
      <c r="F117" s="351"/>
      <c r="G117" s="119">
        <v>270.35000000000002</v>
      </c>
      <c r="H117" s="120"/>
      <c r="I117" s="119">
        <v>5000</v>
      </c>
      <c r="J117" s="120"/>
      <c r="K117" s="119">
        <f>ROUND((G117-I117),5)</f>
        <v>-4729.6499999999996</v>
      </c>
      <c r="L117" s="120"/>
      <c r="M117" s="121">
        <f>ROUND(IF(I117=0, IF(G117=0, 0, 1), G117/I117),5)</f>
        <v>5.407E-2</v>
      </c>
      <c r="N117" s="120"/>
      <c r="O117" s="119">
        <v>8950</v>
      </c>
      <c r="P117" s="120"/>
      <c r="Q117" s="119">
        <v>5000</v>
      </c>
      <c r="R117" s="120"/>
      <c r="S117" s="119">
        <f>ROUND((O117-Q117),5)</f>
        <v>3950</v>
      </c>
      <c r="T117" s="120"/>
      <c r="U117" s="121">
        <f>ROUND(IF(Q117=0, IF(O117=0, 0, 1), O117/Q117),5)</f>
        <v>1.79</v>
      </c>
      <c r="V117" s="120"/>
      <c r="W117" s="34">
        <v>7722.75</v>
      </c>
      <c r="X117" s="34"/>
      <c r="Y117" s="34">
        <v>5000</v>
      </c>
      <c r="Z117" s="34"/>
      <c r="AA117" s="34">
        <f>ROUND((W117-Y117),5)</f>
        <v>2722.75</v>
      </c>
      <c r="AB117" s="34"/>
      <c r="AC117" s="34"/>
      <c r="AD117" s="34">
        <v>45000</v>
      </c>
      <c r="AE117" s="34"/>
      <c r="AF117" s="49">
        <v>39591.32</v>
      </c>
      <c r="AG117" s="50"/>
      <c r="AH117" s="54">
        <v>60000</v>
      </c>
      <c r="AI117" s="54"/>
      <c r="AJ117" s="54">
        <v>68904.399999999994</v>
      </c>
      <c r="AK117" s="54"/>
      <c r="AL117" s="54">
        <v>60000</v>
      </c>
      <c r="AM117" s="54"/>
      <c r="AN117" s="54">
        <v>79444.240000000005</v>
      </c>
      <c r="AO117" s="54"/>
      <c r="AP117" s="54">
        <v>38188.1</v>
      </c>
      <c r="AQ117" s="54"/>
      <c r="AR117" s="54">
        <f>ROUND(I117+Q117+Y117,5)</f>
        <v>15000</v>
      </c>
      <c r="AS117" s="54">
        <f>AP117*2</f>
        <v>76376.2</v>
      </c>
      <c r="AT117" s="54"/>
      <c r="AU117" s="55"/>
      <c r="AV117" s="54">
        <v>88000</v>
      </c>
      <c r="AW117" s="55"/>
      <c r="AX117" s="56">
        <f>AN117-AL117</f>
        <v>19444.240000000005</v>
      </c>
      <c r="AY117" s="56"/>
      <c r="AZ117" s="54">
        <v>36695</v>
      </c>
      <c r="BA117" s="54"/>
      <c r="BB117" s="54"/>
      <c r="BC117" s="60"/>
      <c r="BD117" s="54">
        <v>80623.86</v>
      </c>
      <c r="BE117" s="54"/>
      <c r="BF117" s="54"/>
      <c r="BG117" s="54">
        <v>85000</v>
      </c>
      <c r="BH117" s="54"/>
      <c r="BI117" s="54">
        <v>88515</v>
      </c>
      <c r="BJ117" s="54"/>
      <c r="BK117" s="54">
        <v>88500</v>
      </c>
      <c r="BL117" s="54"/>
      <c r="BM117" s="58">
        <f>BK117-BG117</f>
        <v>3500</v>
      </c>
      <c r="BN117" s="58"/>
      <c r="BO117" s="54">
        <v>44151.34</v>
      </c>
      <c r="BP117" s="54"/>
      <c r="BQ117" s="66">
        <v>83571.34</v>
      </c>
      <c r="BR117" s="66"/>
      <c r="BS117" s="66">
        <f>BQ117-BK117</f>
        <v>-4928.6600000000035</v>
      </c>
      <c r="BT117" s="58"/>
      <c r="BU117" s="54">
        <v>85000</v>
      </c>
      <c r="BV117" s="58"/>
      <c r="BW117" s="58">
        <f t="shared" si="100"/>
        <v>-3500</v>
      </c>
      <c r="BX117" s="58"/>
      <c r="BY117" s="90" t="s">
        <v>204</v>
      </c>
      <c r="BZ117" s="66">
        <v>73220</v>
      </c>
      <c r="CA117" s="221"/>
      <c r="CB117" s="222">
        <v>85000</v>
      </c>
      <c r="CC117" s="222"/>
      <c r="CD117" s="222">
        <v>68870</v>
      </c>
      <c r="CE117" s="222"/>
      <c r="CF117" s="222">
        <v>75000</v>
      </c>
      <c r="CG117" s="223"/>
      <c r="CH117" s="200">
        <f>CF117-CB117</f>
        <v>-10000</v>
      </c>
      <c r="CI117" s="200"/>
      <c r="CJ117" s="293" t="s">
        <v>305</v>
      </c>
      <c r="CK117" s="346">
        <f t="shared" si="56"/>
        <v>6250</v>
      </c>
    </row>
    <row r="118" spans="1:89" s="7" customFormat="1" ht="13.5" customHeight="1" x14ac:dyDescent="0.2">
      <c r="A118" s="6"/>
      <c r="B118" s="338"/>
      <c r="C118" s="351" t="s">
        <v>212</v>
      </c>
      <c r="D118" s="351"/>
      <c r="E118" s="351"/>
      <c r="F118" s="351"/>
      <c r="G118" s="119">
        <v>2987.85</v>
      </c>
      <c r="H118" s="120"/>
      <c r="I118" s="119">
        <v>3125</v>
      </c>
      <c r="J118" s="120"/>
      <c r="K118" s="119">
        <f>ROUND((G118-I118),5)</f>
        <v>-137.15</v>
      </c>
      <c r="L118" s="120"/>
      <c r="M118" s="121">
        <f>ROUND(IF(I118=0, IF(G118=0, 0, 1), G118/I118),5)</f>
        <v>0.95611000000000002</v>
      </c>
      <c r="N118" s="120"/>
      <c r="O118" s="119">
        <v>2612.8000000000002</v>
      </c>
      <c r="P118" s="120"/>
      <c r="Q118" s="119">
        <v>3125</v>
      </c>
      <c r="R118" s="120"/>
      <c r="S118" s="119">
        <f>ROUND((O118-Q118),5)</f>
        <v>-512.20000000000005</v>
      </c>
      <c r="T118" s="120"/>
      <c r="U118" s="121">
        <f>ROUND(IF(Q118=0, IF(O118=0, 0, 1), O118/Q118),5)</f>
        <v>0.83609999999999995</v>
      </c>
      <c r="V118" s="120"/>
      <c r="W118" s="34">
        <v>874.4</v>
      </c>
      <c r="X118" s="34"/>
      <c r="Y118" s="34">
        <v>3125</v>
      </c>
      <c r="Z118" s="34"/>
      <c r="AA118" s="34">
        <f>ROUND((W118-Y118),5)</f>
        <v>-2250.6</v>
      </c>
      <c r="AB118" s="34"/>
      <c r="AC118" s="34"/>
      <c r="AD118" s="34">
        <v>50000</v>
      </c>
      <c r="AE118" s="34"/>
      <c r="AF118" s="49">
        <v>50073.45</v>
      </c>
      <c r="AG118" s="50"/>
      <c r="AH118" s="54">
        <v>40000</v>
      </c>
      <c r="AI118" s="54"/>
      <c r="AJ118" s="54">
        <v>38112.959999999999</v>
      </c>
      <c r="AK118" s="54"/>
      <c r="AL118" s="54">
        <v>37500</v>
      </c>
      <c r="AM118" s="54"/>
      <c r="AN118" s="54">
        <v>27211.02</v>
      </c>
      <c r="AO118" s="54"/>
      <c r="AP118" s="54">
        <v>10765.97</v>
      </c>
      <c r="AQ118" s="54"/>
      <c r="AR118" s="54">
        <f>ROUND(I118+Q118+Y118,5)</f>
        <v>9375</v>
      </c>
      <c r="AS118" s="54">
        <f>AP118*2</f>
        <v>21531.94</v>
      </c>
      <c r="AT118" s="54"/>
      <c r="AU118" s="55"/>
      <c r="AV118" s="54">
        <v>30000</v>
      </c>
      <c r="AW118" s="55"/>
      <c r="AX118" s="56">
        <f>AN118-AL118</f>
        <v>-10288.98</v>
      </c>
      <c r="AY118" s="56"/>
      <c r="AZ118" s="54">
        <v>16343.95</v>
      </c>
      <c r="BA118" s="54"/>
      <c r="BB118" s="54"/>
      <c r="BC118" s="60"/>
      <c r="BD118" s="54">
        <v>42803.69</v>
      </c>
      <c r="BE118" s="54"/>
      <c r="BF118" s="54"/>
      <c r="BG118" s="54">
        <v>30000</v>
      </c>
      <c r="BH118" s="54"/>
      <c r="BI118" s="54">
        <v>38109.22</v>
      </c>
      <c r="BJ118" s="54"/>
      <c r="BK118" s="54">
        <v>60000</v>
      </c>
      <c r="BL118" s="54"/>
      <c r="BM118" s="58">
        <f>BK118-BG118</f>
        <v>30000</v>
      </c>
      <c r="BN118" s="58"/>
      <c r="BO118" s="54">
        <v>30194.18</v>
      </c>
      <c r="BP118" s="54"/>
      <c r="BQ118" s="66">
        <v>52488.66</v>
      </c>
      <c r="BR118" s="66"/>
      <c r="BS118" s="66">
        <f>BQ118-BK118</f>
        <v>-7511.3399999999965</v>
      </c>
      <c r="BT118" s="58"/>
      <c r="BU118" s="54">
        <v>40000</v>
      </c>
      <c r="BV118" s="58"/>
      <c r="BW118" s="58">
        <f t="shared" si="100"/>
        <v>-20000</v>
      </c>
      <c r="BX118" s="58"/>
      <c r="BY118" s="90" t="s">
        <v>204</v>
      </c>
      <c r="BZ118" s="115">
        <v>57864.26</v>
      </c>
      <c r="CA118" s="339"/>
      <c r="CB118" s="258">
        <v>42000</v>
      </c>
      <c r="CC118" s="258"/>
      <c r="CD118" s="258">
        <v>48913</v>
      </c>
      <c r="CE118" s="258"/>
      <c r="CF118" s="258">
        <v>42000</v>
      </c>
      <c r="CG118" s="258"/>
      <c r="CH118" s="200">
        <f t="shared" ref="CH118:CH120" si="101">CF118-CB118</f>
        <v>0</v>
      </c>
      <c r="CI118" s="200"/>
      <c r="CJ118" s="318" t="s">
        <v>204</v>
      </c>
      <c r="CK118" s="346">
        <f t="shared" si="56"/>
        <v>3500</v>
      </c>
    </row>
    <row r="119" spans="1:89" ht="16.5" customHeight="1" x14ac:dyDescent="0.2">
      <c r="A119" s="4"/>
      <c r="B119" s="201"/>
      <c r="C119" s="351" t="s">
        <v>231</v>
      </c>
      <c r="D119" s="351"/>
      <c r="E119" s="351"/>
      <c r="F119" s="351"/>
      <c r="G119" s="119"/>
      <c r="H119" s="120"/>
      <c r="I119" s="119"/>
      <c r="J119" s="120"/>
      <c r="K119" s="119"/>
      <c r="L119" s="120"/>
      <c r="M119" s="121"/>
      <c r="N119" s="120"/>
      <c r="O119" s="119"/>
      <c r="P119" s="120"/>
      <c r="Q119" s="119"/>
      <c r="R119" s="120"/>
      <c r="S119" s="119"/>
      <c r="T119" s="120"/>
      <c r="U119" s="121"/>
      <c r="V119" s="120"/>
      <c r="W119" s="34"/>
      <c r="X119" s="34"/>
      <c r="Y119" s="34"/>
      <c r="Z119" s="34"/>
      <c r="AA119" s="34"/>
      <c r="AB119" s="34"/>
      <c r="AC119" s="34"/>
      <c r="AD119" s="34"/>
      <c r="AE119" s="34"/>
      <c r="AF119" s="49"/>
      <c r="AG119" s="50"/>
      <c r="AH119" s="54"/>
      <c r="AI119" s="54"/>
      <c r="AJ119" s="54"/>
      <c r="AK119" s="54"/>
      <c r="AL119" s="54"/>
      <c r="AM119" s="54"/>
      <c r="AN119" s="54">
        <v>245</v>
      </c>
      <c r="AO119" s="54"/>
      <c r="AP119" s="54"/>
      <c r="AQ119" s="54"/>
      <c r="AR119" s="54"/>
      <c r="AS119" s="54"/>
      <c r="AT119" s="54"/>
      <c r="AU119" s="55"/>
      <c r="AV119" s="54">
        <f>5000+5000</f>
        <v>10000</v>
      </c>
      <c r="AW119" s="55"/>
      <c r="AX119" s="56"/>
      <c r="AY119" s="88"/>
      <c r="AZ119" s="89">
        <v>7913.48</v>
      </c>
      <c r="BA119" s="54"/>
      <c r="BB119" s="54"/>
      <c r="BC119" s="60"/>
      <c r="BD119" s="54">
        <v>9568.58</v>
      </c>
      <c r="BE119" s="54"/>
      <c r="BF119" s="54"/>
      <c r="BG119" s="54">
        <v>35000</v>
      </c>
      <c r="BH119" s="54"/>
      <c r="BI119" s="57">
        <v>9977.7099999999991</v>
      </c>
      <c r="BJ119" s="54"/>
      <c r="BK119" s="54">
        <v>13000</v>
      </c>
      <c r="BL119" s="54"/>
      <c r="BM119" s="58">
        <f>BK119-BG119</f>
        <v>-22000</v>
      </c>
      <c r="BN119" s="58"/>
      <c r="BO119" s="54">
        <v>6322.25</v>
      </c>
      <c r="BP119" s="54"/>
      <c r="BQ119" s="66">
        <v>7032.25</v>
      </c>
      <c r="BR119" s="66"/>
      <c r="BS119" s="66">
        <f>BQ119-BK119</f>
        <v>-5967.75</v>
      </c>
      <c r="BT119" s="58"/>
      <c r="BU119" s="54">
        <v>13000</v>
      </c>
      <c r="BV119" s="58"/>
      <c r="BW119" s="58">
        <f t="shared" si="100"/>
        <v>0</v>
      </c>
      <c r="BX119" s="58"/>
      <c r="BY119" s="91" t="s">
        <v>306</v>
      </c>
      <c r="BZ119" s="66">
        <v>6505</v>
      </c>
      <c r="CA119" s="85"/>
      <c r="CB119" s="79">
        <v>10000</v>
      </c>
      <c r="CC119" s="79"/>
      <c r="CD119" s="79">
        <v>1270</v>
      </c>
      <c r="CE119" s="79"/>
      <c r="CF119" s="79">
        <v>10000</v>
      </c>
      <c r="CG119" s="198"/>
      <c r="CH119" s="200">
        <f t="shared" si="101"/>
        <v>0</v>
      </c>
      <c r="CI119" s="200"/>
      <c r="CJ119" s="295" t="s">
        <v>204</v>
      </c>
      <c r="CK119" s="346">
        <f t="shared" si="56"/>
        <v>833.33333333333337</v>
      </c>
    </row>
    <row r="120" spans="1:89" s="7" customFormat="1" ht="15" customHeight="1" thickBot="1" x14ac:dyDescent="0.25">
      <c r="A120" s="6"/>
      <c r="B120" s="338"/>
      <c r="C120" s="133" t="s">
        <v>175</v>
      </c>
      <c r="D120" s="133"/>
      <c r="E120" s="134"/>
      <c r="F120" s="133"/>
      <c r="G120" s="133"/>
      <c r="H120" s="120"/>
      <c r="I120" s="119"/>
      <c r="J120" s="120"/>
      <c r="K120" s="119"/>
      <c r="L120" s="120"/>
      <c r="M120" s="121"/>
      <c r="N120" s="120"/>
      <c r="O120" s="119"/>
      <c r="P120" s="120"/>
      <c r="Q120" s="119"/>
      <c r="R120" s="120"/>
      <c r="S120" s="119"/>
      <c r="T120" s="120"/>
      <c r="U120" s="121"/>
      <c r="V120" s="120"/>
      <c r="W120" s="34"/>
      <c r="X120" s="34"/>
      <c r="Y120" s="34"/>
      <c r="Z120" s="34"/>
      <c r="AA120" s="34"/>
      <c r="AB120" s="34"/>
      <c r="AC120" s="34"/>
      <c r="AD120" s="34"/>
      <c r="AE120" s="34"/>
      <c r="AF120" s="49"/>
      <c r="AG120" s="50"/>
      <c r="AH120" s="54"/>
      <c r="AI120" s="54"/>
      <c r="AJ120" s="54"/>
      <c r="AK120" s="54"/>
      <c r="AL120" s="93"/>
      <c r="AM120" s="93"/>
      <c r="AN120" s="93"/>
      <c r="AO120" s="93"/>
      <c r="AP120" s="93"/>
      <c r="AQ120" s="93"/>
      <c r="AR120" s="93"/>
      <c r="AS120" s="93"/>
      <c r="AT120" s="93"/>
      <c r="AU120" s="94"/>
      <c r="AV120" s="93"/>
      <c r="AW120" s="94"/>
      <c r="AX120" s="95"/>
      <c r="AY120" s="95"/>
      <c r="AZ120" s="93"/>
      <c r="BA120" s="93"/>
      <c r="BB120" s="93"/>
      <c r="BC120" s="99"/>
      <c r="BD120" s="93"/>
      <c r="BE120" s="93"/>
      <c r="BF120" s="93"/>
      <c r="BG120" s="93">
        <v>7000</v>
      </c>
      <c r="BH120" s="93"/>
      <c r="BI120" s="93">
        <v>933.68</v>
      </c>
      <c r="BJ120" s="93"/>
      <c r="BK120" s="93">
        <v>7000</v>
      </c>
      <c r="BL120" s="93"/>
      <c r="BM120" s="101">
        <f>BK120-BG120</f>
        <v>0</v>
      </c>
      <c r="BN120" s="101"/>
      <c r="BO120" s="93">
        <v>2141.63</v>
      </c>
      <c r="BP120" s="93"/>
      <c r="BQ120" s="102">
        <v>4249.13</v>
      </c>
      <c r="BR120" s="102"/>
      <c r="BS120" s="102">
        <f>BQ120-BK120</f>
        <v>-2750.87</v>
      </c>
      <c r="BT120" s="101"/>
      <c r="BU120" s="93">
        <v>7000</v>
      </c>
      <c r="BV120" s="101"/>
      <c r="BW120" s="101">
        <f t="shared" si="100"/>
        <v>0</v>
      </c>
      <c r="BX120" s="58"/>
      <c r="BY120" s="90" t="s">
        <v>204</v>
      </c>
      <c r="BZ120" s="102">
        <v>1708.7</v>
      </c>
      <c r="CA120" s="102"/>
      <c r="CB120" s="93">
        <v>7000</v>
      </c>
      <c r="CC120" s="93"/>
      <c r="CD120" s="93">
        <v>1162.6400000000001</v>
      </c>
      <c r="CE120" s="93"/>
      <c r="CF120" s="93">
        <v>7000</v>
      </c>
      <c r="CG120" s="223"/>
      <c r="CH120" s="200">
        <f t="shared" si="101"/>
        <v>0</v>
      </c>
      <c r="CI120" s="224"/>
      <c r="CJ120" s="304" t="s">
        <v>204</v>
      </c>
      <c r="CK120" s="346">
        <f t="shared" si="56"/>
        <v>583.33333333333337</v>
      </c>
    </row>
    <row r="121" spans="1:89" s="7" customFormat="1" ht="15" customHeight="1" thickBot="1" x14ac:dyDescent="0.25">
      <c r="A121" s="6"/>
      <c r="B121" s="340" t="s">
        <v>191</v>
      </c>
      <c r="C121" s="133"/>
      <c r="D121" s="133"/>
      <c r="E121" s="134"/>
      <c r="F121" s="133"/>
      <c r="G121" s="133"/>
      <c r="H121" s="120"/>
      <c r="I121" s="119"/>
      <c r="J121" s="120"/>
      <c r="K121" s="119"/>
      <c r="L121" s="120"/>
      <c r="M121" s="121"/>
      <c r="N121" s="120"/>
      <c r="O121" s="119"/>
      <c r="P121" s="120"/>
      <c r="Q121" s="119"/>
      <c r="R121" s="120"/>
      <c r="S121" s="119"/>
      <c r="T121" s="120"/>
      <c r="U121" s="121"/>
      <c r="V121" s="120"/>
      <c r="W121" s="34"/>
      <c r="X121" s="34"/>
      <c r="Y121" s="34"/>
      <c r="Z121" s="34"/>
      <c r="AA121" s="34"/>
      <c r="AB121" s="34"/>
      <c r="AC121" s="34"/>
      <c r="AD121" s="34"/>
      <c r="AE121" s="34"/>
      <c r="AF121" s="49"/>
      <c r="AG121" s="50"/>
      <c r="AH121" s="54"/>
      <c r="AI121" s="54"/>
      <c r="AJ121" s="54"/>
      <c r="AK121" s="54"/>
      <c r="AL121" s="222">
        <f>SUM(AL117:AL120)</f>
        <v>97500</v>
      </c>
      <c r="AM121" s="222"/>
      <c r="AN121" s="222">
        <f t="shared" ref="AN121:BO121" si="102">SUM(AN117:AN120)</f>
        <v>106900.26000000001</v>
      </c>
      <c r="AO121" s="222">
        <f t="shared" si="102"/>
        <v>0</v>
      </c>
      <c r="AP121" s="222">
        <f t="shared" si="102"/>
        <v>48954.07</v>
      </c>
      <c r="AQ121" s="222">
        <f t="shared" si="102"/>
        <v>0</v>
      </c>
      <c r="AR121" s="222">
        <f t="shared" si="102"/>
        <v>24375</v>
      </c>
      <c r="AS121" s="222">
        <f t="shared" si="102"/>
        <v>97908.14</v>
      </c>
      <c r="AT121" s="222">
        <f t="shared" si="102"/>
        <v>0</v>
      </c>
      <c r="AU121" s="222">
        <f t="shared" si="102"/>
        <v>0</v>
      </c>
      <c r="AV121" s="167">
        <f t="shared" si="102"/>
        <v>128000</v>
      </c>
      <c r="AW121" s="167">
        <f t="shared" si="102"/>
        <v>0</v>
      </c>
      <c r="AX121" s="167">
        <f t="shared" si="102"/>
        <v>9155.2600000000057</v>
      </c>
      <c r="AY121" s="167">
        <f t="shared" si="102"/>
        <v>0</v>
      </c>
      <c r="AZ121" s="167">
        <f t="shared" si="102"/>
        <v>60952.429999999993</v>
      </c>
      <c r="BA121" s="167">
        <f t="shared" si="102"/>
        <v>0</v>
      </c>
      <c r="BB121" s="167">
        <f t="shared" si="102"/>
        <v>0</v>
      </c>
      <c r="BC121" s="190">
        <f t="shared" si="102"/>
        <v>0</v>
      </c>
      <c r="BD121" s="167">
        <f t="shared" si="102"/>
        <v>132996.13</v>
      </c>
      <c r="BE121" s="167">
        <f t="shared" si="102"/>
        <v>0</v>
      </c>
      <c r="BF121" s="167">
        <f t="shared" si="102"/>
        <v>0</v>
      </c>
      <c r="BG121" s="167">
        <f t="shared" si="102"/>
        <v>157000</v>
      </c>
      <c r="BH121" s="167">
        <f t="shared" si="102"/>
        <v>0</v>
      </c>
      <c r="BI121" s="167">
        <f t="shared" si="102"/>
        <v>137535.60999999999</v>
      </c>
      <c r="BJ121" s="167">
        <f t="shared" si="102"/>
        <v>0</v>
      </c>
      <c r="BK121" s="167">
        <f t="shared" si="102"/>
        <v>168500</v>
      </c>
      <c r="BL121" s="167">
        <f t="shared" si="102"/>
        <v>0</v>
      </c>
      <c r="BM121" s="191">
        <f t="shared" si="102"/>
        <v>11500</v>
      </c>
      <c r="BN121" s="191"/>
      <c r="BO121" s="167">
        <f t="shared" si="102"/>
        <v>82809.399999999994</v>
      </c>
      <c r="BP121" s="167"/>
      <c r="BQ121" s="192">
        <f>BO121*2</f>
        <v>165618.79999999999</v>
      </c>
      <c r="BR121" s="192"/>
      <c r="BS121" s="192">
        <f>BQ121-BK121</f>
        <v>-2881.2000000000116</v>
      </c>
      <c r="BT121" s="191"/>
      <c r="BU121" s="167">
        <f t="shared" ref="BU121" si="103">SUM(BU117:BU120)</f>
        <v>145000</v>
      </c>
      <c r="BV121" s="191"/>
      <c r="BW121" s="191">
        <f t="shared" si="100"/>
        <v>-23500</v>
      </c>
      <c r="BX121" s="58"/>
      <c r="BY121" s="91"/>
      <c r="BZ121" s="192">
        <f>SUM(BZ117:BZ120)</f>
        <v>139297.96000000002</v>
      </c>
      <c r="CA121" s="192"/>
      <c r="CB121" s="167">
        <f t="shared" ref="CB121:CD121" si="104">SUM(CB117:CB120)</f>
        <v>144000</v>
      </c>
      <c r="CC121" s="167"/>
      <c r="CD121" s="167">
        <f t="shared" si="104"/>
        <v>120215.64</v>
      </c>
      <c r="CE121" s="167"/>
      <c r="CF121" s="167">
        <f t="shared" ref="CF121" si="105">SUM(CF117:CF120)</f>
        <v>134000</v>
      </c>
      <c r="CG121" s="190"/>
      <c r="CH121" s="324">
        <f>-CB121+CF121</f>
        <v>-10000</v>
      </c>
      <c r="CI121" s="96"/>
      <c r="CJ121" s="322"/>
      <c r="CK121" s="346">
        <f t="shared" si="56"/>
        <v>11166.666666666666</v>
      </c>
    </row>
    <row r="122" spans="1:89" ht="19.5" customHeight="1" thickBot="1" x14ac:dyDescent="0.25">
      <c r="A122" s="4"/>
      <c r="B122" s="201"/>
      <c r="C122" s="133" t="s">
        <v>89</v>
      </c>
      <c r="D122" s="133"/>
      <c r="E122" s="134"/>
      <c r="F122" s="133"/>
      <c r="G122" s="119">
        <v>4682.6499999999996</v>
      </c>
      <c r="H122" s="120"/>
      <c r="I122" s="119">
        <v>1250</v>
      </c>
      <c r="J122" s="120"/>
      <c r="K122" s="119">
        <f t="shared" si="86"/>
        <v>3432.65</v>
      </c>
      <c r="L122" s="120"/>
      <c r="M122" s="121">
        <f t="shared" si="87"/>
        <v>3.7461199999999999</v>
      </c>
      <c r="N122" s="120"/>
      <c r="O122" s="119">
        <v>129.30000000000001</v>
      </c>
      <c r="P122" s="120"/>
      <c r="Q122" s="119">
        <v>1250</v>
      </c>
      <c r="R122" s="120"/>
      <c r="S122" s="119">
        <f t="shared" si="88"/>
        <v>-1120.7</v>
      </c>
      <c r="T122" s="120"/>
      <c r="U122" s="121">
        <f t="shared" si="89"/>
        <v>0.10344</v>
      </c>
      <c r="V122" s="120"/>
      <c r="W122" s="34">
        <f>1159+149</f>
        <v>1308</v>
      </c>
      <c r="X122" s="34"/>
      <c r="Y122" s="34">
        <v>1250</v>
      </c>
      <c r="Z122" s="34"/>
      <c r="AA122" s="34">
        <f t="shared" si="90"/>
        <v>58</v>
      </c>
      <c r="AB122" s="34"/>
      <c r="AC122" s="34"/>
      <c r="AD122" s="34"/>
      <c r="AE122" s="34">
        <v>0</v>
      </c>
      <c r="AF122" s="71"/>
      <c r="AG122" s="72"/>
      <c r="AH122" s="93">
        <v>0</v>
      </c>
      <c r="AI122" s="93"/>
      <c r="AJ122" s="93">
        <v>7985.16</v>
      </c>
      <c r="AK122" s="93"/>
      <c r="AL122" s="93">
        <v>15000</v>
      </c>
      <c r="AM122" s="93"/>
      <c r="AN122" s="93">
        <v>17894.66</v>
      </c>
      <c r="AO122" s="93"/>
      <c r="AP122" s="93">
        <v>9877.34</v>
      </c>
      <c r="AQ122" s="93"/>
      <c r="AR122" s="93">
        <f t="shared" si="91"/>
        <v>3750</v>
      </c>
      <c r="AS122" s="93">
        <f t="shared" si="92"/>
        <v>19754.68</v>
      </c>
      <c r="AT122" s="93"/>
      <c r="AU122" s="94"/>
      <c r="AV122" s="93">
        <v>10000</v>
      </c>
      <c r="AW122" s="94"/>
      <c r="AX122" s="95">
        <f t="shared" si="73"/>
        <v>2894.66</v>
      </c>
      <c r="AY122" s="96"/>
      <c r="AZ122" s="97">
        <v>2634.07</v>
      </c>
      <c r="BA122" s="93"/>
      <c r="BB122" s="93"/>
      <c r="BC122" s="99"/>
      <c r="BD122" s="93">
        <v>8918.2000000000007</v>
      </c>
      <c r="BE122" s="93"/>
      <c r="BF122" s="93"/>
      <c r="BG122" s="93">
        <v>10000</v>
      </c>
      <c r="BH122" s="93"/>
      <c r="BI122" s="93">
        <v>23284.27</v>
      </c>
      <c r="BJ122" s="93"/>
      <c r="BK122" s="93">
        <v>5000</v>
      </c>
      <c r="BL122" s="93"/>
      <c r="BM122" s="101">
        <f>BK122-BG122</f>
        <v>-5000</v>
      </c>
      <c r="BN122" s="101"/>
      <c r="BO122" s="93">
        <v>2455.1799999999998</v>
      </c>
      <c r="BP122" s="93"/>
      <c r="BQ122" s="102">
        <v>2500.88</v>
      </c>
      <c r="BR122" s="102"/>
      <c r="BS122" s="102">
        <f t="shared" si="49"/>
        <v>-2499.12</v>
      </c>
      <c r="BT122" s="101"/>
      <c r="BU122" s="93">
        <v>12000</v>
      </c>
      <c r="BV122" s="101"/>
      <c r="BW122" s="101">
        <f t="shared" si="71"/>
        <v>7000</v>
      </c>
      <c r="BX122" s="101"/>
      <c r="BY122" s="90" t="s">
        <v>214</v>
      </c>
      <c r="BZ122" s="102">
        <v>9092.3799999999992</v>
      </c>
      <c r="CA122" s="102"/>
      <c r="CB122" s="93">
        <v>8100</v>
      </c>
      <c r="CC122" s="93"/>
      <c r="CD122" s="93">
        <v>1063.4000000000001</v>
      </c>
      <c r="CE122" s="93"/>
      <c r="CF122" s="93">
        <v>8100</v>
      </c>
      <c r="CG122" s="99"/>
      <c r="CH122" s="103">
        <f t="shared" si="84"/>
        <v>0</v>
      </c>
      <c r="CI122" s="129"/>
      <c r="CJ122" s="304" t="s">
        <v>204</v>
      </c>
      <c r="CK122" s="346">
        <f t="shared" si="56"/>
        <v>675</v>
      </c>
    </row>
    <row r="123" spans="1:89" ht="13.5" customHeight="1" thickBot="1" x14ac:dyDescent="0.25">
      <c r="A123" s="4"/>
      <c r="B123" s="201" t="s">
        <v>161</v>
      </c>
      <c r="C123" s="133"/>
      <c r="D123" s="133"/>
      <c r="E123" s="134"/>
      <c r="F123" s="133"/>
      <c r="G123" s="119" t="e">
        <f>ROUND(G94+G136+G25+SUM(G115:G122),5)</f>
        <v>#REF!</v>
      </c>
      <c r="H123" s="120"/>
      <c r="I123" s="119" t="e">
        <f>ROUND(I94+I136+I25+SUM(I115:I122),5)</f>
        <v>#REF!</v>
      </c>
      <c r="J123" s="120"/>
      <c r="K123" s="119" t="e">
        <f t="shared" si="86"/>
        <v>#REF!</v>
      </c>
      <c r="L123" s="120"/>
      <c r="M123" s="121" t="e">
        <f t="shared" si="87"/>
        <v>#REF!</v>
      </c>
      <c r="N123" s="120"/>
      <c r="O123" s="119" t="e">
        <f>ROUND(O94+O136+O25+SUM(O115:O122),5)</f>
        <v>#REF!</v>
      </c>
      <c r="P123" s="120"/>
      <c r="Q123" s="119" t="e">
        <f>ROUND(Q94+Q136+Q25+SUM(Q115:Q122),5)</f>
        <v>#REF!</v>
      </c>
      <c r="R123" s="120"/>
      <c r="S123" s="119" t="e">
        <f t="shared" si="88"/>
        <v>#REF!</v>
      </c>
      <c r="T123" s="120"/>
      <c r="U123" s="121" t="e">
        <f t="shared" si="89"/>
        <v>#REF!</v>
      </c>
      <c r="V123" s="120"/>
      <c r="W123" s="77">
        <f>W122+W118+W117+W115+W25</f>
        <v>22789.01</v>
      </c>
      <c r="X123" s="77"/>
      <c r="Y123" s="77" t="e">
        <f>ROUND(Y94+Y136+Y25+SUM(Y115:Y122),5)</f>
        <v>#REF!</v>
      </c>
      <c r="Z123" s="77"/>
      <c r="AA123" s="77" t="e">
        <f t="shared" si="90"/>
        <v>#REF!</v>
      </c>
      <c r="AB123" s="77"/>
      <c r="AC123" s="77"/>
      <c r="AD123" s="194">
        <f>AD122+AD118+AD117+AD115+AD25+AD30</f>
        <v>216900</v>
      </c>
      <c r="AE123" s="194"/>
      <c r="AF123" s="195">
        <f>AF122+AF118+AF117+AF115+AF25</f>
        <v>211242.03999999998</v>
      </c>
      <c r="AG123" s="81"/>
      <c r="AH123" s="81">
        <f>AD122+AD115+AD25+AD30</f>
        <v>121900</v>
      </c>
      <c r="AI123" s="79"/>
      <c r="AJ123" s="79">
        <v>274711.74</v>
      </c>
      <c r="AK123" s="79"/>
      <c r="AL123" s="79">
        <f>+AL119+AL122+AL115</f>
        <v>99601</v>
      </c>
      <c r="AM123" s="79"/>
      <c r="AN123" s="79">
        <f t="shared" ref="AN123:BJ123" si="106">+AN119+AN122+AN115</f>
        <v>77685.69</v>
      </c>
      <c r="AO123" s="79">
        <f t="shared" si="106"/>
        <v>0</v>
      </c>
      <c r="AP123" s="79">
        <f t="shared" si="106"/>
        <v>35659.14</v>
      </c>
      <c r="AQ123" s="79">
        <f t="shared" si="106"/>
        <v>0</v>
      </c>
      <c r="AR123" s="79" t="e">
        <f t="shared" si="106"/>
        <v>#REF!</v>
      </c>
      <c r="AS123" s="79">
        <f t="shared" si="106"/>
        <v>71318.28</v>
      </c>
      <c r="AT123" s="79">
        <f t="shared" si="106"/>
        <v>0</v>
      </c>
      <c r="AU123" s="79">
        <f t="shared" si="106"/>
        <v>0</v>
      </c>
      <c r="AV123" s="167">
        <f t="shared" si="106"/>
        <v>88000</v>
      </c>
      <c r="AW123" s="167">
        <f t="shared" si="106"/>
        <v>0</v>
      </c>
      <c r="AX123" s="167">
        <f t="shared" si="106"/>
        <v>-22160.31</v>
      </c>
      <c r="AY123" s="167">
        <f t="shared" si="106"/>
        <v>0</v>
      </c>
      <c r="AZ123" s="167" t="e">
        <f t="shared" si="106"/>
        <v>#REF!</v>
      </c>
      <c r="BA123" s="167">
        <f t="shared" si="106"/>
        <v>0</v>
      </c>
      <c r="BB123" s="167">
        <f t="shared" si="106"/>
        <v>0</v>
      </c>
      <c r="BC123" s="190">
        <f t="shared" si="106"/>
        <v>0</v>
      </c>
      <c r="BD123" s="167">
        <f t="shared" si="106"/>
        <v>110015.85</v>
      </c>
      <c r="BE123" s="167">
        <f t="shared" si="106"/>
        <v>0</v>
      </c>
      <c r="BF123" s="167">
        <f t="shared" si="106"/>
        <v>0</v>
      </c>
      <c r="BG123" s="167">
        <f t="shared" si="106"/>
        <v>90500</v>
      </c>
      <c r="BH123" s="167">
        <f t="shared" si="106"/>
        <v>0</v>
      </c>
      <c r="BI123" s="167">
        <f t="shared" si="106"/>
        <v>96865.75</v>
      </c>
      <c r="BJ123" s="167">
        <f t="shared" si="106"/>
        <v>0</v>
      </c>
      <c r="BK123" s="167">
        <f>+BK122+BK115</f>
        <v>60900</v>
      </c>
      <c r="BL123" s="167">
        <f>+BL119+BL122+BL115</f>
        <v>0</v>
      </c>
      <c r="BM123" s="191">
        <f>+BM119+BM122+BM115</f>
        <v>-16600</v>
      </c>
      <c r="BN123" s="191"/>
      <c r="BO123" s="167" t="e">
        <f>+BO119+BO122+BO115</f>
        <v>#REF!</v>
      </c>
      <c r="BP123" s="167"/>
      <c r="BQ123" s="192">
        <f>BQ122+BQ115</f>
        <v>60856.53</v>
      </c>
      <c r="BR123" s="192"/>
      <c r="BS123" s="192">
        <f>BS122+BS119+BS115</f>
        <v>-6011.2199999999975</v>
      </c>
      <c r="BT123" s="191"/>
      <c r="BU123" s="192" t="e">
        <f>BU122+BU115</f>
        <v>#REF!</v>
      </c>
      <c r="BV123" s="191"/>
      <c r="BW123" s="191" t="e">
        <f t="shared" si="71"/>
        <v>#REF!</v>
      </c>
      <c r="BX123" s="84"/>
      <c r="BY123" s="91"/>
      <c r="BZ123" s="192" t="e">
        <f>BZ122+BZ115</f>
        <v>#REF!</v>
      </c>
      <c r="CA123" s="192"/>
      <c r="CB123" s="196" t="e">
        <f>CB122+CB115</f>
        <v>#REF!</v>
      </c>
      <c r="CC123" s="196"/>
      <c r="CD123" s="196" t="e">
        <f>CD122+CD115</f>
        <v>#REF!</v>
      </c>
      <c r="CE123" s="196"/>
      <c r="CF123" s="196">
        <f>CF122+CF115+CF121+CF96+CF95</f>
        <v>230400</v>
      </c>
      <c r="CG123" s="197"/>
      <c r="CH123" s="103" t="e">
        <f t="shared" si="84"/>
        <v>#REF!</v>
      </c>
      <c r="CI123" s="96"/>
      <c r="CJ123" s="305"/>
      <c r="CK123" s="346">
        <f t="shared" si="56"/>
        <v>19200</v>
      </c>
    </row>
    <row r="124" spans="1:89" ht="18" customHeight="1" x14ac:dyDescent="0.2">
      <c r="A124" s="4"/>
      <c r="B124" s="27" t="s">
        <v>98</v>
      </c>
      <c r="C124" s="28"/>
      <c r="D124" s="28"/>
      <c r="E124" s="29"/>
      <c r="F124" s="28"/>
      <c r="G124" s="30"/>
      <c r="H124" s="31"/>
      <c r="I124" s="30"/>
      <c r="J124" s="31"/>
      <c r="K124" s="30"/>
      <c r="L124" s="31"/>
      <c r="M124" s="32"/>
      <c r="N124" s="31"/>
      <c r="O124" s="30"/>
      <c r="P124" s="31"/>
      <c r="Q124" s="30"/>
      <c r="R124" s="31"/>
      <c r="S124" s="30"/>
      <c r="T124" s="31"/>
      <c r="U124" s="32"/>
      <c r="V124" s="31"/>
      <c r="W124" s="33"/>
      <c r="X124" s="33"/>
      <c r="Y124" s="33"/>
      <c r="Z124" s="33"/>
      <c r="AA124" s="33"/>
      <c r="AB124" s="33"/>
      <c r="AC124" s="33"/>
      <c r="AD124" s="34"/>
      <c r="AE124" s="34"/>
      <c r="AF124" s="49"/>
      <c r="AG124" s="50"/>
      <c r="AH124" s="51"/>
      <c r="AI124" s="51"/>
      <c r="AJ124" s="51"/>
      <c r="AK124" s="51"/>
      <c r="AL124" s="51"/>
      <c r="AM124" s="51"/>
      <c r="AN124" s="51"/>
      <c r="AO124" s="51"/>
      <c r="AP124" s="51"/>
      <c r="AQ124" s="51"/>
      <c r="AR124" s="51"/>
      <c r="AS124" s="51"/>
      <c r="AT124" s="51"/>
      <c r="AU124" s="65"/>
      <c r="AV124" s="79"/>
      <c r="AW124" s="80"/>
      <c r="AX124" s="81">
        <f t="shared" si="73"/>
        <v>0</v>
      </c>
      <c r="AY124" s="81"/>
      <c r="AZ124" s="79"/>
      <c r="BA124" s="79"/>
      <c r="BB124" s="79"/>
      <c r="BC124" s="83"/>
      <c r="BD124" s="79"/>
      <c r="BE124" s="79"/>
      <c r="BF124" s="79"/>
      <c r="BG124" s="79"/>
      <c r="BH124" s="79"/>
      <c r="BI124" s="79"/>
      <c r="BJ124" s="79"/>
      <c r="BK124" s="79"/>
      <c r="BL124" s="79"/>
      <c r="BM124" s="84"/>
      <c r="BN124" s="84"/>
      <c r="BO124" s="79"/>
      <c r="BP124" s="79"/>
      <c r="BQ124" s="85"/>
      <c r="BR124" s="85"/>
      <c r="BS124" s="85"/>
      <c r="BT124" s="84"/>
      <c r="BU124" s="79"/>
      <c r="BV124" s="84"/>
      <c r="BW124" s="84"/>
      <c r="BX124" s="58"/>
      <c r="BY124" s="91"/>
      <c r="BZ124" s="212"/>
      <c r="CA124" s="212"/>
      <c r="CB124" s="213"/>
      <c r="CC124" s="213"/>
      <c r="CD124" s="213"/>
      <c r="CE124" s="213"/>
      <c r="CF124" s="213"/>
      <c r="CG124" s="214"/>
      <c r="CH124" s="215"/>
      <c r="CI124" s="199"/>
      <c r="CJ124" s="311"/>
      <c r="CK124" s="346">
        <f t="shared" si="56"/>
        <v>0</v>
      </c>
    </row>
    <row r="125" spans="1:89" ht="18" customHeight="1" x14ac:dyDescent="0.2">
      <c r="A125" s="4"/>
      <c r="B125" s="27"/>
      <c r="C125" s="28" t="s">
        <v>325</v>
      </c>
      <c r="D125" s="28"/>
      <c r="E125" s="29"/>
      <c r="F125" s="28"/>
      <c r="G125" s="30"/>
      <c r="H125" s="31"/>
      <c r="I125" s="30"/>
      <c r="J125" s="31"/>
      <c r="K125" s="30"/>
      <c r="L125" s="31"/>
      <c r="M125" s="32"/>
      <c r="N125" s="31"/>
      <c r="O125" s="30"/>
      <c r="P125" s="31"/>
      <c r="Q125" s="30"/>
      <c r="R125" s="31"/>
      <c r="S125" s="30"/>
      <c r="T125" s="31"/>
      <c r="U125" s="32"/>
      <c r="V125" s="31"/>
      <c r="W125" s="33"/>
      <c r="X125" s="33"/>
      <c r="Y125" s="33"/>
      <c r="Z125" s="33"/>
      <c r="AA125" s="33"/>
      <c r="AB125" s="33"/>
      <c r="AC125" s="33"/>
      <c r="AD125" s="34"/>
      <c r="AE125" s="34"/>
      <c r="AF125" s="49"/>
      <c r="AG125" s="50"/>
      <c r="AH125" s="51"/>
      <c r="AI125" s="51"/>
      <c r="AJ125" s="51"/>
      <c r="AK125" s="51"/>
      <c r="AL125" s="51"/>
      <c r="AM125" s="51"/>
      <c r="AN125" s="51"/>
      <c r="AO125" s="51"/>
      <c r="AP125" s="51"/>
      <c r="AQ125" s="51"/>
      <c r="AR125" s="51"/>
      <c r="AS125" s="51"/>
      <c r="AT125" s="51"/>
      <c r="AU125" s="65"/>
      <c r="AV125" s="79"/>
      <c r="AW125" s="80"/>
      <c r="AX125" s="81"/>
      <c r="AY125" s="88"/>
      <c r="AZ125" s="82"/>
      <c r="BA125" s="79"/>
      <c r="BB125" s="79"/>
      <c r="BC125" s="83"/>
      <c r="BD125" s="79"/>
      <c r="BE125" s="79"/>
      <c r="BF125" s="79"/>
      <c r="BG125" s="79"/>
      <c r="BH125" s="79"/>
      <c r="BI125" s="79"/>
      <c r="BJ125" s="79"/>
      <c r="BK125" s="79"/>
      <c r="BL125" s="79"/>
      <c r="BM125" s="84"/>
      <c r="BN125" s="84"/>
      <c r="BO125" s="79"/>
      <c r="BP125" s="79"/>
      <c r="BQ125" s="85"/>
      <c r="BR125" s="85"/>
      <c r="BS125" s="85"/>
      <c r="BT125" s="84"/>
      <c r="BU125" s="79"/>
      <c r="BV125" s="84"/>
      <c r="BW125" s="84"/>
      <c r="BX125" s="58"/>
      <c r="BY125" s="91"/>
      <c r="BZ125" s="212"/>
      <c r="CA125" s="212"/>
      <c r="CB125" s="79"/>
      <c r="CC125" s="79"/>
      <c r="CD125" s="79"/>
      <c r="CE125" s="79"/>
      <c r="CF125" s="79">
        <v>3300</v>
      </c>
      <c r="CG125" s="198"/>
      <c r="CH125" s="199"/>
      <c r="CI125" s="199"/>
      <c r="CJ125" s="311"/>
      <c r="CK125" s="346"/>
    </row>
    <row r="126" spans="1:89" ht="16.5" customHeight="1" x14ac:dyDescent="0.2">
      <c r="A126" s="4"/>
      <c r="B126" s="27" t="s">
        <v>90</v>
      </c>
      <c r="C126" s="28"/>
      <c r="D126" s="28"/>
      <c r="E126" s="29"/>
      <c r="F126" s="28"/>
      <c r="G126" s="30"/>
      <c r="H126" s="31"/>
      <c r="I126" s="30"/>
      <c r="J126" s="31"/>
      <c r="K126" s="30"/>
      <c r="L126" s="31"/>
      <c r="M126" s="32"/>
      <c r="N126" s="31"/>
      <c r="O126" s="30"/>
      <c r="P126" s="31"/>
      <c r="Q126" s="30"/>
      <c r="R126" s="31"/>
      <c r="S126" s="30"/>
      <c r="T126" s="31"/>
      <c r="U126" s="32"/>
      <c r="V126" s="31"/>
      <c r="W126" s="33"/>
      <c r="X126" s="33"/>
      <c r="Y126" s="33"/>
      <c r="Z126" s="33"/>
      <c r="AA126" s="33"/>
      <c r="AB126" s="33"/>
      <c r="AC126" s="33"/>
      <c r="AD126" s="34"/>
      <c r="AE126" s="34"/>
      <c r="AF126" s="49"/>
      <c r="AG126" s="50"/>
      <c r="AH126" s="51"/>
      <c r="AI126" s="51"/>
      <c r="AJ126" s="51"/>
      <c r="AK126" s="51"/>
      <c r="AL126" s="51"/>
      <c r="AM126" s="51"/>
      <c r="AN126" s="51"/>
      <c r="AO126" s="51"/>
      <c r="AP126" s="51"/>
      <c r="AQ126" s="51"/>
      <c r="AR126" s="51"/>
      <c r="AS126" s="51"/>
      <c r="AT126" s="51"/>
      <c r="AU126" s="65"/>
      <c r="AV126" s="79"/>
      <c r="AW126" s="80"/>
      <c r="AX126" s="81">
        <f t="shared" ref="AX126:AX132" si="107">AN126-AL126</f>
        <v>0</v>
      </c>
      <c r="AY126" s="88"/>
      <c r="AZ126" s="114"/>
      <c r="BA126" s="79"/>
      <c r="BB126" s="79"/>
      <c r="BC126" s="83"/>
      <c r="BD126" s="79"/>
      <c r="BE126" s="79"/>
      <c r="BF126" s="79"/>
      <c r="BG126" s="79"/>
      <c r="BH126" s="79"/>
      <c r="BI126" s="79"/>
      <c r="BJ126" s="79"/>
      <c r="BK126" s="79"/>
      <c r="BL126" s="79"/>
      <c r="BM126" s="84"/>
      <c r="BN126" s="84"/>
      <c r="BO126" s="79"/>
      <c r="BP126" s="79"/>
      <c r="BQ126" s="85"/>
      <c r="BR126" s="85"/>
      <c r="BS126" s="85"/>
      <c r="BT126" s="84"/>
      <c r="BU126" s="79"/>
      <c r="BV126" s="84"/>
      <c r="BW126" s="84">
        <f t="shared" ref="BW126:BW132" si="108">BU126-BK126</f>
        <v>0</v>
      </c>
      <c r="BX126" s="58"/>
      <c r="BY126" s="91"/>
      <c r="BZ126" s="85"/>
      <c r="CA126" s="85"/>
      <c r="CB126" s="79"/>
      <c r="CC126" s="79"/>
      <c r="CD126" s="79"/>
      <c r="CE126" s="79"/>
      <c r="CF126" s="79"/>
      <c r="CG126" s="198"/>
      <c r="CH126" s="199"/>
      <c r="CI126" s="199"/>
      <c r="CJ126" s="299"/>
      <c r="CK126" s="346">
        <f t="shared" ref="CK126:CK132" si="109">CF126/12</f>
        <v>0</v>
      </c>
    </row>
    <row r="127" spans="1:89" ht="18" customHeight="1" x14ac:dyDescent="0.2">
      <c r="A127" s="4"/>
      <c r="B127" s="27"/>
      <c r="C127" s="28" t="s">
        <v>92</v>
      </c>
      <c r="D127" s="28"/>
      <c r="E127" s="29"/>
      <c r="F127" s="28"/>
      <c r="G127" s="30">
        <v>379.52</v>
      </c>
      <c r="H127" s="31"/>
      <c r="I127" s="30">
        <v>1416.63</v>
      </c>
      <c r="J127" s="31"/>
      <c r="K127" s="30">
        <f t="shared" ref="K127:K132" si="110">ROUND((G127-I127),5)</f>
        <v>-1037.1099999999999</v>
      </c>
      <c r="L127" s="31"/>
      <c r="M127" s="32">
        <f t="shared" ref="M127:M132" si="111">ROUND(IF(I127=0, IF(G127=0, 0, 1), G127/I127),5)</f>
        <v>0.26790000000000003</v>
      </c>
      <c r="N127" s="31"/>
      <c r="O127" s="30">
        <v>0</v>
      </c>
      <c r="P127" s="31"/>
      <c r="Q127" s="30">
        <v>1416.67</v>
      </c>
      <c r="R127" s="31"/>
      <c r="S127" s="30">
        <f t="shared" ref="S127:S132" si="112">ROUND((O127-Q127),5)</f>
        <v>-1416.67</v>
      </c>
      <c r="T127" s="31"/>
      <c r="U127" s="32">
        <f t="shared" ref="U127:U132" si="113">ROUND(IF(Q127=0, IF(O127=0, 0, 1), O127/Q127),5)</f>
        <v>0</v>
      </c>
      <c r="V127" s="31"/>
      <c r="W127" s="33">
        <v>6756.12</v>
      </c>
      <c r="X127" s="33"/>
      <c r="Y127" s="33">
        <v>1416.67</v>
      </c>
      <c r="Z127" s="33"/>
      <c r="AA127" s="33">
        <f t="shared" ref="AA127:AA132" si="114">ROUND((W127-Y127),5)</f>
        <v>5339.45</v>
      </c>
      <c r="AB127" s="33"/>
      <c r="AC127" s="33"/>
      <c r="AD127" s="34">
        <v>16204</v>
      </c>
      <c r="AE127" s="34"/>
      <c r="AF127" s="49">
        <v>16629.48</v>
      </c>
      <c r="AG127" s="50"/>
      <c r="AH127" s="51">
        <v>10000</v>
      </c>
      <c r="AI127" s="51"/>
      <c r="AJ127" s="51">
        <v>12303.72</v>
      </c>
      <c r="AK127" s="51"/>
      <c r="AL127" s="51">
        <v>17000</v>
      </c>
      <c r="AM127" s="51"/>
      <c r="AN127" s="51">
        <v>16298.31</v>
      </c>
      <c r="AO127" s="51"/>
      <c r="AP127" s="51">
        <v>10372.41</v>
      </c>
      <c r="AQ127" s="51"/>
      <c r="AR127" s="51">
        <f t="shared" ref="AR127:AR132" si="115">ROUND(I127+Q127+Y127,5)</f>
        <v>4249.97</v>
      </c>
      <c r="AS127" s="51">
        <f t="shared" ref="AS127:AS132" si="116">AP127*2</f>
        <v>20744.82</v>
      </c>
      <c r="AT127" s="51"/>
      <c r="AU127" s="65"/>
      <c r="AV127" s="54">
        <v>17000</v>
      </c>
      <c r="AW127" s="55"/>
      <c r="AX127" s="56">
        <f t="shared" si="107"/>
        <v>-701.69000000000051</v>
      </c>
      <c r="AY127" s="88"/>
      <c r="AZ127" s="89">
        <v>4961.01</v>
      </c>
      <c r="BA127" s="54"/>
      <c r="BB127" s="54"/>
      <c r="BC127" s="60"/>
      <c r="BD127" s="54">
        <v>8495.66</v>
      </c>
      <c r="BE127" s="54"/>
      <c r="BF127" s="54"/>
      <c r="BG127" s="54">
        <v>17000</v>
      </c>
      <c r="BH127" s="54"/>
      <c r="BI127" s="57">
        <v>12671.4</v>
      </c>
      <c r="BJ127" s="54"/>
      <c r="BK127" s="54">
        <v>7000</v>
      </c>
      <c r="BL127" s="54"/>
      <c r="BM127" s="58">
        <f t="shared" ref="BM127:BM131" si="117">BK127-AV127</f>
        <v>-10000</v>
      </c>
      <c r="BN127" s="58"/>
      <c r="BO127" s="54">
        <v>4345.92</v>
      </c>
      <c r="BP127" s="54"/>
      <c r="BQ127" s="66">
        <v>7038.27</v>
      </c>
      <c r="BR127" s="66"/>
      <c r="BS127" s="66">
        <f t="shared" ref="BS127:BS132" si="118">BQ127-BK127</f>
        <v>38.270000000000437</v>
      </c>
      <c r="BT127" s="58"/>
      <c r="BU127" s="54">
        <v>10000</v>
      </c>
      <c r="BV127" s="58"/>
      <c r="BW127" s="58">
        <f t="shared" si="108"/>
        <v>3000</v>
      </c>
      <c r="BX127" s="58"/>
      <c r="BY127" s="91" t="s">
        <v>285</v>
      </c>
      <c r="BZ127" s="66">
        <v>12822.1</v>
      </c>
      <c r="CA127" s="66"/>
      <c r="CB127" s="54">
        <v>10000</v>
      </c>
      <c r="CC127" s="54"/>
      <c r="CD127" s="54">
        <v>2691.86</v>
      </c>
      <c r="CE127" s="54"/>
      <c r="CF127" s="54">
        <v>8000</v>
      </c>
      <c r="CG127" s="132"/>
      <c r="CH127" s="200">
        <f t="shared" ref="CH127:CH132" si="119">CF127-CB127</f>
        <v>-2000</v>
      </c>
      <c r="CI127" s="200"/>
      <c r="CJ127" s="308" t="s">
        <v>286</v>
      </c>
      <c r="CK127" s="346">
        <f t="shared" si="109"/>
        <v>666.66666666666663</v>
      </c>
    </row>
    <row r="128" spans="1:89" ht="18" customHeight="1" x14ac:dyDescent="0.2">
      <c r="A128" s="4"/>
      <c r="B128" s="27"/>
      <c r="C128" s="28" t="s">
        <v>93</v>
      </c>
      <c r="D128" s="28"/>
      <c r="E128" s="29"/>
      <c r="F128" s="28"/>
      <c r="G128" s="30">
        <v>0</v>
      </c>
      <c r="H128" s="31"/>
      <c r="I128" s="30">
        <v>291.63</v>
      </c>
      <c r="J128" s="31"/>
      <c r="K128" s="30">
        <f t="shared" si="110"/>
        <v>-291.63</v>
      </c>
      <c r="L128" s="31"/>
      <c r="M128" s="32">
        <f t="shared" si="111"/>
        <v>0</v>
      </c>
      <c r="N128" s="31"/>
      <c r="O128" s="30">
        <v>0</v>
      </c>
      <c r="P128" s="31"/>
      <c r="Q128" s="30">
        <v>291.67</v>
      </c>
      <c r="R128" s="31"/>
      <c r="S128" s="30">
        <f t="shared" si="112"/>
        <v>-291.67</v>
      </c>
      <c r="T128" s="31"/>
      <c r="U128" s="32">
        <f t="shared" si="113"/>
        <v>0</v>
      </c>
      <c r="V128" s="31"/>
      <c r="W128" s="33">
        <v>0</v>
      </c>
      <c r="X128" s="33"/>
      <c r="Y128" s="33">
        <v>291.67</v>
      </c>
      <c r="Z128" s="33"/>
      <c r="AA128" s="33">
        <f t="shared" si="114"/>
        <v>-291.67</v>
      </c>
      <c r="AB128" s="33"/>
      <c r="AC128" s="33"/>
      <c r="AD128" s="34"/>
      <c r="AE128" s="34"/>
      <c r="AF128" s="49"/>
      <c r="AG128" s="50"/>
      <c r="AH128" s="51">
        <v>3000</v>
      </c>
      <c r="AI128" s="51"/>
      <c r="AJ128" s="51">
        <v>3695.61</v>
      </c>
      <c r="AK128" s="51"/>
      <c r="AL128" s="51">
        <v>3500</v>
      </c>
      <c r="AM128" s="51"/>
      <c r="AN128" s="51">
        <v>509.77</v>
      </c>
      <c r="AO128" s="51"/>
      <c r="AP128" s="51">
        <f t="shared" ref="AP128:AP130" si="120">ROUND(G128+O128+W128,5)</f>
        <v>0</v>
      </c>
      <c r="AQ128" s="51"/>
      <c r="AR128" s="51">
        <f t="shared" si="115"/>
        <v>874.97</v>
      </c>
      <c r="AS128" s="51">
        <f t="shared" si="116"/>
        <v>0</v>
      </c>
      <c r="AT128" s="51"/>
      <c r="AU128" s="65"/>
      <c r="AV128" s="54">
        <v>3500</v>
      </c>
      <c r="AW128" s="55"/>
      <c r="AX128" s="56">
        <f t="shared" si="107"/>
        <v>-2990.23</v>
      </c>
      <c r="AY128" s="88"/>
      <c r="AZ128" s="89">
        <v>3392.06</v>
      </c>
      <c r="BA128" s="54"/>
      <c r="BB128" s="54"/>
      <c r="BC128" s="60"/>
      <c r="BD128" s="54">
        <v>3655.72</v>
      </c>
      <c r="BE128" s="54"/>
      <c r="BF128" s="54"/>
      <c r="BG128" s="54">
        <v>3500</v>
      </c>
      <c r="BH128" s="54"/>
      <c r="BI128" s="57">
        <v>5913.04</v>
      </c>
      <c r="BJ128" s="54"/>
      <c r="BK128" s="54">
        <v>5000</v>
      </c>
      <c r="BL128" s="54"/>
      <c r="BM128" s="58">
        <f t="shared" si="117"/>
        <v>1500</v>
      </c>
      <c r="BN128" s="58"/>
      <c r="BO128" s="54">
        <v>509.92</v>
      </c>
      <c r="BP128" s="54"/>
      <c r="BQ128" s="66">
        <v>4720.54</v>
      </c>
      <c r="BR128" s="66"/>
      <c r="BS128" s="66">
        <f t="shared" si="118"/>
        <v>-279.46000000000004</v>
      </c>
      <c r="BT128" s="58"/>
      <c r="BU128" s="54">
        <v>5000</v>
      </c>
      <c r="BV128" s="58"/>
      <c r="BW128" s="58">
        <f t="shared" si="108"/>
        <v>0</v>
      </c>
      <c r="BX128" s="58"/>
      <c r="BY128" s="91" t="s">
        <v>287</v>
      </c>
      <c r="BZ128" s="66">
        <v>6455.41</v>
      </c>
      <c r="CA128" s="66"/>
      <c r="CB128" s="54">
        <v>4000</v>
      </c>
      <c r="CC128" s="54"/>
      <c r="CD128" s="54">
        <v>3791.3</v>
      </c>
      <c r="CE128" s="54"/>
      <c r="CF128" s="54">
        <v>4000</v>
      </c>
      <c r="CG128" s="132"/>
      <c r="CH128" s="200">
        <f t="shared" si="119"/>
        <v>0</v>
      </c>
      <c r="CI128" s="200"/>
      <c r="CJ128" s="295" t="s">
        <v>204</v>
      </c>
      <c r="CK128" s="346">
        <f t="shared" si="109"/>
        <v>333.33333333333331</v>
      </c>
    </row>
    <row r="129" spans="1:89" ht="18" customHeight="1" x14ac:dyDescent="0.2">
      <c r="A129" s="4"/>
      <c r="B129" s="27"/>
      <c r="C129" s="28" t="s">
        <v>94</v>
      </c>
      <c r="D129" s="28"/>
      <c r="E129" s="29"/>
      <c r="F129" s="28"/>
      <c r="G129" s="30">
        <v>0</v>
      </c>
      <c r="H129" s="31"/>
      <c r="I129" s="30">
        <v>125</v>
      </c>
      <c r="J129" s="31"/>
      <c r="K129" s="30">
        <f t="shared" si="110"/>
        <v>-125</v>
      </c>
      <c r="L129" s="31"/>
      <c r="M129" s="32">
        <f t="shared" si="111"/>
        <v>0</v>
      </c>
      <c r="N129" s="31"/>
      <c r="O129" s="30">
        <v>0</v>
      </c>
      <c r="P129" s="31"/>
      <c r="Q129" s="30">
        <v>125</v>
      </c>
      <c r="R129" s="31"/>
      <c r="S129" s="30">
        <f t="shared" si="112"/>
        <v>-125</v>
      </c>
      <c r="T129" s="31"/>
      <c r="U129" s="32">
        <f t="shared" si="113"/>
        <v>0</v>
      </c>
      <c r="V129" s="31"/>
      <c r="W129" s="33">
        <v>0</v>
      </c>
      <c r="X129" s="33"/>
      <c r="Y129" s="33">
        <v>125</v>
      </c>
      <c r="Z129" s="33"/>
      <c r="AA129" s="33">
        <f t="shared" si="114"/>
        <v>-125</v>
      </c>
      <c r="AB129" s="33"/>
      <c r="AC129" s="33"/>
      <c r="AD129" s="34">
        <v>4000</v>
      </c>
      <c r="AE129" s="34"/>
      <c r="AF129" s="49">
        <v>1786.19</v>
      </c>
      <c r="AG129" s="50"/>
      <c r="AH129" s="51">
        <v>4000</v>
      </c>
      <c r="AI129" s="51"/>
      <c r="AJ129" s="51">
        <v>632.09</v>
      </c>
      <c r="AK129" s="51"/>
      <c r="AL129" s="51">
        <v>1500</v>
      </c>
      <c r="AM129" s="51"/>
      <c r="AN129" s="51">
        <v>228</v>
      </c>
      <c r="AO129" s="51"/>
      <c r="AP129" s="51">
        <f t="shared" si="120"/>
        <v>0</v>
      </c>
      <c r="AQ129" s="51"/>
      <c r="AR129" s="51">
        <f t="shared" si="115"/>
        <v>375</v>
      </c>
      <c r="AS129" s="51">
        <f t="shared" si="116"/>
        <v>0</v>
      </c>
      <c r="AT129" s="51"/>
      <c r="AU129" s="65"/>
      <c r="AV129" s="54">
        <v>1500</v>
      </c>
      <c r="AW129" s="55"/>
      <c r="AX129" s="56">
        <f t="shared" si="107"/>
        <v>-1272</v>
      </c>
      <c r="AY129" s="88"/>
      <c r="AZ129" s="89">
        <v>1618.38</v>
      </c>
      <c r="BA129" s="54"/>
      <c r="BB129" s="54"/>
      <c r="BC129" s="60"/>
      <c r="BD129" s="54">
        <v>1618.38</v>
      </c>
      <c r="BE129" s="54"/>
      <c r="BF129" s="54"/>
      <c r="BG129" s="54">
        <v>1500</v>
      </c>
      <c r="BH129" s="54"/>
      <c r="BI129" s="57">
        <v>299.8</v>
      </c>
      <c r="BJ129" s="54"/>
      <c r="BK129" s="54">
        <v>1100</v>
      </c>
      <c r="BL129" s="54"/>
      <c r="BM129" s="58">
        <f t="shared" si="117"/>
        <v>-400</v>
      </c>
      <c r="BN129" s="58"/>
      <c r="BO129" s="54">
        <v>1055.94</v>
      </c>
      <c r="BP129" s="54"/>
      <c r="BQ129" s="66">
        <v>1130.94</v>
      </c>
      <c r="BR129" s="66"/>
      <c r="BS129" s="66">
        <f t="shared" si="118"/>
        <v>30.940000000000055</v>
      </c>
      <c r="BT129" s="58"/>
      <c r="BU129" s="54">
        <v>1000</v>
      </c>
      <c r="BV129" s="58"/>
      <c r="BW129" s="58">
        <f t="shared" si="108"/>
        <v>-100</v>
      </c>
      <c r="BX129" s="58"/>
      <c r="BY129" s="90" t="s">
        <v>204</v>
      </c>
      <c r="BZ129" s="66">
        <v>225</v>
      </c>
      <c r="CA129" s="66"/>
      <c r="CB129" s="54">
        <v>1000</v>
      </c>
      <c r="CC129" s="54"/>
      <c r="CD129" s="54">
        <v>0</v>
      </c>
      <c r="CE129" s="54"/>
      <c r="CF129" s="54">
        <v>1000</v>
      </c>
      <c r="CG129" s="132"/>
      <c r="CH129" s="200">
        <f t="shared" si="119"/>
        <v>0</v>
      </c>
      <c r="CI129" s="200"/>
      <c r="CJ129" s="295" t="s">
        <v>204</v>
      </c>
      <c r="CK129" s="346">
        <f t="shared" si="109"/>
        <v>83.333333333333329</v>
      </c>
    </row>
    <row r="130" spans="1:89" ht="18" customHeight="1" x14ac:dyDescent="0.2">
      <c r="A130" s="4"/>
      <c r="B130" s="27"/>
      <c r="C130" s="348" t="s">
        <v>95</v>
      </c>
      <c r="D130" s="348"/>
      <c r="E130" s="348"/>
      <c r="F130" s="348"/>
      <c r="G130" s="30">
        <v>0</v>
      </c>
      <c r="H130" s="31"/>
      <c r="I130" s="30">
        <v>166.63</v>
      </c>
      <c r="J130" s="31"/>
      <c r="K130" s="30">
        <f t="shared" si="110"/>
        <v>-166.63</v>
      </c>
      <c r="L130" s="31"/>
      <c r="M130" s="32">
        <f t="shared" si="111"/>
        <v>0</v>
      </c>
      <c r="N130" s="31"/>
      <c r="O130" s="30">
        <v>0</v>
      </c>
      <c r="P130" s="31"/>
      <c r="Q130" s="30">
        <v>166.67</v>
      </c>
      <c r="R130" s="31"/>
      <c r="S130" s="30">
        <f t="shared" si="112"/>
        <v>-166.67</v>
      </c>
      <c r="T130" s="31"/>
      <c r="U130" s="32">
        <f t="shared" si="113"/>
        <v>0</v>
      </c>
      <c r="V130" s="31"/>
      <c r="W130" s="33">
        <v>0</v>
      </c>
      <c r="X130" s="33"/>
      <c r="Y130" s="33">
        <v>166.67</v>
      </c>
      <c r="Z130" s="33"/>
      <c r="AA130" s="33">
        <f t="shared" si="114"/>
        <v>-166.67</v>
      </c>
      <c r="AB130" s="33"/>
      <c r="AC130" s="33"/>
      <c r="AD130" s="34"/>
      <c r="AE130" s="34"/>
      <c r="AF130" s="49"/>
      <c r="AG130" s="50"/>
      <c r="AH130" s="51">
        <v>2000</v>
      </c>
      <c r="AI130" s="51"/>
      <c r="AJ130" s="51">
        <v>2299.7800000000002</v>
      </c>
      <c r="AK130" s="51"/>
      <c r="AL130" s="51">
        <v>2000</v>
      </c>
      <c r="AM130" s="51"/>
      <c r="AN130" s="51">
        <v>94.04</v>
      </c>
      <c r="AO130" s="51"/>
      <c r="AP130" s="51">
        <f t="shared" si="120"/>
        <v>0</v>
      </c>
      <c r="AQ130" s="51"/>
      <c r="AR130" s="51">
        <f t="shared" si="115"/>
        <v>499.97</v>
      </c>
      <c r="AS130" s="51">
        <f t="shared" si="116"/>
        <v>0</v>
      </c>
      <c r="AT130" s="51"/>
      <c r="AU130" s="65"/>
      <c r="AV130" s="54">
        <v>2000</v>
      </c>
      <c r="AW130" s="55"/>
      <c r="AX130" s="56">
        <f t="shared" si="107"/>
        <v>-1905.96</v>
      </c>
      <c r="AY130" s="88"/>
      <c r="AZ130" s="89">
        <v>2537.0500000000002</v>
      </c>
      <c r="BA130" s="54"/>
      <c r="BB130" s="54"/>
      <c r="BC130" s="60"/>
      <c r="BD130" s="54">
        <v>2901.05</v>
      </c>
      <c r="BE130" s="54"/>
      <c r="BF130" s="54"/>
      <c r="BG130" s="54">
        <v>2000</v>
      </c>
      <c r="BH130" s="54"/>
      <c r="BI130" s="57">
        <v>1341.66</v>
      </c>
      <c r="BJ130" s="54"/>
      <c r="BK130" s="54">
        <v>7100</v>
      </c>
      <c r="BL130" s="54"/>
      <c r="BM130" s="58">
        <f t="shared" si="117"/>
        <v>5100</v>
      </c>
      <c r="BN130" s="58"/>
      <c r="BO130" s="54">
        <v>3538.88</v>
      </c>
      <c r="BP130" s="54"/>
      <c r="BQ130" s="66">
        <v>5141.49</v>
      </c>
      <c r="BR130" s="66"/>
      <c r="BS130" s="66">
        <f t="shared" si="118"/>
        <v>-1958.5100000000002</v>
      </c>
      <c r="BT130" s="58"/>
      <c r="BU130" s="54">
        <v>5000</v>
      </c>
      <c r="BV130" s="58"/>
      <c r="BW130" s="58">
        <f t="shared" si="108"/>
        <v>-2100</v>
      </c>
      <c r="BX130" s="58"/>
      <c r="BY130" s="91" t="s">
        <v>288</v>
      </c>
      <c r="BZ130" s="66">
        <v>693.9</v>
      </c>
      <c r="CA130" s="66"/>
      <c r="CB130" s="54">
        <v>5000</v>
      </c>
      <c r="CC130" s="54"/>
      <c r="CD130" s="54">
        <v>3025.46</v>
      </c>
      <c r="CE130" s="54"/>
      <c r="CF130" s="54">
        <v>5000</v>
      </c>
      <c r="CG130" s="132"/>
      <c r="CH130" s="200">
        <f t="shared" si="119"/>
        <v>0</v>
      </c>
      <c r="CI130" s="200"/>
      <c r="CJ130" s="295" t="s">
        <v>204</v>
      </c>
      <c r="CK130" s="346">
        <f t="shared" si="109"/>
        <v>416.66666666666669</v>
      </c>
    </row>
    <row r="131" spans="1:89" s="7" customFormat="1" ht="14.25" customHeight="1" thickBot="1" x14ac:dyDescent="0.25">
      <c r="A131" s="6"/>
      <c r="B131" s="201"/>
      <c r="C131" s="133" t="s">
        <v>96</v>
      </c>
      <c r="D131" s="133"/>
      <c r="E131" s="134"/>
      <c r="F131" s="202"/>
      <c r="G131" s="203">
        <v>0</v>
      </c>
      <c r="H131" s="204"/>
      <c r="I131" s="203">
        <v>83.37</v>
      </c>
      <c r="J131" s="204"/>
      <c r="K131" s="203">
        <f t="shared" si="110"/>
        <v>-83.37</v>
      </c>
      <c r="L131" s="204"/>
      <c r="M131" s="205">
        <f t="shared" si="111"/>
        <v>0</v>
      </c>
      <c r="N131" s="204"/>
      <c r="O131" s="203">
        <v>0</v>
      </c>
      <c r="P131" s="204"/>
      <c r="Q131" s="203">
        <v>83.33</v>
      </c>
      <c r="R131" s="204"/>
      <c r="S131" s="203">
        <f t="shared" si="112"/>
        <v>-83.33</v>
      </c>
      <c r="T131" s="204"/>
      <c r="U131" s="205">
        <f t="shared" si="113"/>
        <v>0</v>
      </c>
      <c r="V131" s="204"/>
      <c r="W131" s="206">
        <v>12</v>
      </c>
      <c r="X131" s="206"/>
      <c r="Y131" s="206">
        <v>83.33</v>
      </c>
      <c r="Z131" s="206"/>
      <c r="AA131" s="206">
        <f t="shared" si="114"/>
        <v>-71.33</v>
      </c>
      <c r="AB131" s="206"/>
      <c r="AC131" s="206"/>
      <c r="AD131" s="206">
        <v>1000</v>
      </c>
      <c r="AE131" s="206"/>
      <c r="AF131" s="207">
        <v>396.77</v>
      </c>
      <c r="AG131" s="208"/>
      <c r="AH131" s="209">
        <v>1000</v>
      </c>
      <c r="AI131" s="209"/>
      <c r="AJ131" s="209">
        <v>298.2</v>
      </c>
      <c r="AK131" s="209"/>
      <c r="AL131" s="209">
        <v>1000</v>
      </c>
      <c r="AM131" s="209"/>
      <c r="AN131" s="209">
        <v>688.39</v>
      </c>
      <c r="AO131" s="209"/>
      <c r="AP131" s="209">
        <v>212.89</v>
      </c>
      <c r="AQ131" s="209"/>
      <c r="AR131" s="209">
        <f t="shared" si="115"/>
        <v>250.03</v>
      </c>
      <c r="AS131" s="209">
        <f t="shared" si="116"/>
        <v>425.78</v>
      </c>
      <c r="AT131" s="209"/>
      <c r="AU131" s="210"/>
      <c r="AV131" s="93">
        <v>3000</v>
      </c>
      <c r="AW131" s="94"/>
      <c r="AX131" s="95">
        <f t="shared" si="107"/>
        <v>-311.61</v>
      </c>
      <c r="AY131" s="96"/>
      <c r="AZ131" s="97">
        <v>3268.14</v>
      </c>
      <c r="BA131" s="93"/>
      <c r="BB131" s="93"/>
      <c r="BC131" s="99"/>
      <c r="BD131" s="93">
        <v>4733.3999999999996</v>
      </c>
      <c r="BE131" s="93"/>
      <c r="BF131" s="93"/>
      <c r="BG131" s="93">
        <v>3000</v>
      </c>
      <c r="BH131" s="93"/>
      <c r="BI131" s="100">
        <v>4817.96</v>
      </c>
      <c r="BJ131" s="93"/>
      <c r="BK131" s="93">
        <v>3500</v>
      </c>
      <c r="BL131" s="93"/>
      <c r="BM131" s="101">
        <f t="shared" si="117"/>
        <v>500</v>
      </c>
      <c r="BN131" s="101"/>
      <c r="BO131" s="93">
        <v>2792.23</v>
      </c>
      <c r="BP131" s="93"/>
      <c r="BQ131" s="102">
        <v>3708.04</v>
      </c>
      <c r="BR131" s="102"/>
      <c r="BS131" s="102">
        <f t="shared" si="118"/>
        <v>208.03999999999996</v>
      </c>
      <c r="BT131" s="101"/>
      <c r="BU131" s="93">
        <v>1500</v>
      </c>
      <c r="BV131" s="101"/>
      <c r="BW131" s="101">
        <f t="shared" si="108"/>
        <v>-2000</v>
      </c>
      <c r="BX131" s="58"/>
      <c r="BY131" s="91" t="s">
        <v>207</v>
      </c>
      <c r="BZ131" s="102">
        <v>3177.45</v>
      </c>
      <c r="CA131" s="102"/>
      <c r="CB131" s="93">
        <v>1500</v>
      </c>
      <c r="CC131" s="93"/>
      <c r="CD131" s="93">
        <v>7350.26</v>
      </c>
      <c r="CE131" s="93"/>
      <c r="CF131" s="93">
        <v>1500</v>
      </c>
      <c r="CG131" s="99"/>
      <c r="CH131" s="103">
        <f t="shared" si="119"/>
        <v>0</v>
      </c>
      <c r="CI131" s="129"/>
      <c r="CJ131" s="304" t="s">
        <v>317</v>
      </c>
      <c r="CK131" s="346">
        <f t="shared" si="109"/>
        <v>125</v>
      </c>
    </row>
    <row r="132" spans="1:89" ht="18" customHeight="1" thickBot="1" x14ac:dyDescent="0.25">
      <c r="A132" s="4"/>
      <c r="B132" s="27" t="s">
        <v>97</v>
      </c>
      <c r="C132" s="28"/>
      <c r="D132" s="28"/>
      <c r="E132" s="29"/>
      <c r="F132" s="28"/>
      <c r="G132" s="30">
        <f>ROUND(SUM(G126:G131),5)</f>
        <v>379.52</v>
      </c>
      <c r="H132" s="31"/>
      <c r="I132" s="30">
        <f>ROUND(SUM(I126:I131),5)</f>
        <v>2083.2600000000002</v>
      </c>
      <c r="J132" s="31"/>
      <c r="K132" s="30">
        <f t="shared" si="110"/>
        <v>-1703.74</v>
      </c>
      <c r="L132" s="31"/>
      <c r="M132" s="32">
        <f t="shared" si="111"/>
        <v>0.18218000000000001</v>
      </c>
      <c r="N132" s="31"/>
      <c r="O132" s="30">
        <f>ROUND(SUM(O126:O131),5)</f>
        <v>0</v>
      </c>
      <c r="P132" s="31"/>
      <c r="Q132" s="30">
        <f>ROUND(SUM(Q126:Q131),5)</f>
        <v>2083.34</v>
      </c>
      <c r="R132" s="31"/>
      <c r="S132" s="30">
        <f t="shared" si="112"/>
        <v>-2083.34</v>
      </c>
      <c r="T132" s="31"/>
      <c r="U132" s="32">
        <f t="shared" si="113"/>
        <v>0</v>
      </c>
      <c r="V132" s="31"/>
      <c r="W132" s="76">
        <f>SUM(W92:W131)</f>
        <v>127400.43999999996</v>
      </c>
      <c r="X132" s="76"/>
      <c r="Y132" s="76" t="e">
        <f>SUM(Y92:Y131)</f>
        <v>#REF!</v>
      </c>
      <c r="Z132" s="76"/>
      <c r="AA132" s="76" t="e">
        <f t="shared" si="114"/>
        <v>#REF!</v>
      </c>
      <c r="AB132" s="76"/>
      <c r="AC132" s="76"/>
      <c r="AD132" s="174">
        <f>SUM(AD92:AD131)</f>
        <v>1204240.77</v>
      </c>
      <c r="AE132" s="174"/>
      <c r="AF132" s="175">
        <f>SUM(AF92:AF131)</f>
        <v>1174390.4199999997</v>
      </c>
      <c r="AG132" s="79"/>
      <c r="AH132" s="41">
        <f>SUM(AH92:AH131)</f>
        <v>1153900</v>
      </c>
      <c r="AI132" s="41"/>
      <c r="AJ132" s="41">
        <v>23616.41</v>
      </c>
      <c r="AK132" s="41"/>
      <c r="AL132" s="41">
        <f>SUM(AL92:AL131)</f>
        <v>1380401.1</v>
      </c>
      <c r="AM132" s="41"/>
      <c r="AN132" s="41">
        <f>SUM(AN92:AN131)</f>
        <v>1168410.5299999998</v>
      </c>
      <c r="AO132" s="41"/>
      <c r="AP132" s="41">
        <f>SUM(AP92:AP131)</f>
        <v>501630.72999999992</v>
      </c>
      <c r="AQ132" s="41"/>
      <c r="AR132" s="41" t="e">
        <f t="shared" si="115"/>
        <v>#REF!</v>
      </c>
      <c r="AS132" s="41">
        <f t="shared" si="116"/>
        <v>1003261.4599999998</v>
      </c>
      <c r="AT132" s="41"/>
      <c r="AU132" s="42"/>
      <c r="AV132" s="167">
        <f>SUM(AV92:AV131)</f>
        <v>1272000</v>
      </c>
      <c r="AW132" s="168"/>
      <c r="AX132" s="169">
        <f t="shared" si="107"/>
        <v>-211990.5700000003</v>
      </c>
      <c r="AY132" s="194"/>
      <c r="AZ132" s="211">
        <v>18454.04</v>
      </c>
      <c r="BA132" s="167"/>
      <c r="BB132" s="167"/>
      <c r="BC132" s="190"/>
      <c r="BD132" s="167">
        <f>SUM(BD92:BD131)</f>
        <v>1340712.8399999999</v>
      </c>
      <c r="BE132" s="167"/>
      <c r="BF132" s="167"/>
      <c r="BG132" s="167">
        <f>SUM(BG92:BG131)</f>
        <v>1237600</v>
      </c>
      <c r="BH132" s="167"/>
      <c r="BI132" s="167">
        <f>SUM(BI92:BI131)</f>
        <v>1301777.25</v>
      </c>
      <c r="BJ132" s="167"/>
      <c r="BK132" s="167">
        <f>SUM(BK92:BK131)</f>
        <v>1184365.42</v>
      </c>
      <c r="BL132" s="167"/>
      <c r="BM132" s="191">
        <f>BK132-AV132</f>
        <v>-87634.580000000075</v>
      </c>
      <c r="BN132" s="191"/>
      <c r="BO132" s="167" t="e">
        <f>SUM(BO92:BO131)</f>
        <v>#REF!</v>
      </c>
      <c r="BP132" s="167"/>
      <c r="BQ132" s="192">
        <f>SUM(BQ92:BQ131)</f>
        <v>1202636.6399999999</v>
      </c>
      <c r="BR132" s="192"/>
      <c r="BS132" s="192">
        <f t="shared" si="118"/>
        <v>18271.219999999972</v>
      </c>
      <c r="BT132" s="191"/>
      <c r="BU132" s="167">
        <f>SUM(BU126:BU131)</f>
        <v>22500</v>
      </c>
      <c r="BV132" s="191"/>
      <c r="BW132" s="191">
        <f t="shared" si="108"/>
        <v>-1161865.42</v>
      </c>
      <c r="BX132" s="58"/>
      <c r="BY132" s="91"/>
      <c r="BZ132" s="167">
        <f>SUM(BZ126:BZ131)</f>
        <v>23373.860000000004</v>
      </c>
      <c r="CA132" s="167"/>
      <c r="CB132" s="167">
        <f>SUM(CB126:CB131)</f>
        <v>21500</v>
      </c>
      <c r="CC132" s="167"/>
      <c r="CD132" s="167">
        <f>SUM(CD126:CD131)</f>
        <v>16858.879999999997</v>
      </c>
      <c r="CE132" s="167"/>
      <c r="CF132" s="167">
        <f>SUM(CF126:CF131)</f>
        <v>19500</v>
      </c>
      <c r="CG132" s="82"/>
      <c r="CH132" s="199">
        <f t="shared" si="119"/>
        <v>-2000</v>
      </c>
      <c r="CI132" s="88"/>
      <c r="CJ132" s="310"/>
      <c r="CK132" s="346">
        <f t="shared" si="109"/>
        <v>1625</v>
      </c>
    </row>
    <row r="133" spans="1:89" ht="12" customHeight="1" x14ac:dyDescent="0.2">
      <c r="A133" s="4"/>
      <c r="B133" s="27"/>
      <c r="C133" s="28" t="s">
        <v>70</v>
      </c>
      <c r="D133" s="28"/>
      <c r="E133" s="29"/>
      <c r="F133" s="28"/>
      <c r="G133" s="30"/>
      <c r="H133" s="31"/>
      <c r="I133" s="30"/>
      <c r="J133" s="31"/>
      <c r="K133" s="30"/>
      <c r="L133" s="31"/>
      <c r="M133" s="32"/>
      <c r="N133" s="31"/>
      <c r="O133" s="30"/>
      <c r="P133" s="31"/>
      <c r="Q133" s="30"/>
      <c r="R133" s="31"/>
      <c r="S133" s="30"/>
      <c r="T133" s="31"/>
      <c r="U133" s="32"/>
      <c r="V133" s="31"/>
      <c r="W133" s="33"/>
      <c r="X133" s="33"/>
      <c r="Y133" s="33"/>
      <c r="Z133" s="33"/>
      <c r="AA133" s="33"/>
      <c r="AB133" s="33"/>
      <c r="AC133" s="33"/>
      <c r="AD133" s="34"/>
      <c r="AE133" s="34"/>
      <c r="AF133" s="49"/>
      <c r="AG133" s="50"/>
      <c r="AH133" s="51"/>
      <c r="AI133" s="51"/>
      <c r="AJ133" s="51"/>
      <c r="AK133" s="51"/>
      <c r="AL133" s="51"/>
      <c r="AM133" s="51"/>
      <c r="AN133" s="51"/>
      <c r="AO133" s="51"/>
      <c r="AP133" s="51"/>
      <c r="AQ133" s="51"/>
      <c r="AR133" s="51"/>
      <c r="AS133" s="51"/>
      <c r="AT133" s="51"/>
      <c r="AU133" s="65"/>
      <c r="AV133" s="54"/>
      <c r="AW133" s="55"/>
      <c r="AX133" s="56">
        <f t="shared" si="73"/>
        <v>0</v>
      </c>
      <c r="AY133" s="56"/>
      <c r="AZ133" s="54"/>
      <c r="BA133" s="54"/>
      <c r="BB133" s="54"/>
      <c r="BC133" s="60"/>
      <c r="BD133" s="54"/>
      <c r="BE133" s="54"/>
      <c r="BF133" s="54"/>
      <c r="BG133" s="54"/>
      <c r="BH133" s="54"/>
      <c r="BI133" s="54"/>
      <c r="BJ133" s="54"/>
      <c r="BK133" s="54"/>
      <c r="BL133" s="54"/>
      <c r="BM133" s="58"/>
      <c r="BN133" s="58"/>
      <c r="BO133" s="54"/>
      <c r="BP133" s="54"/>
      <c r="BQ133" s="66"/>
      <c r="BR133" s="66"/>
      <c r="BS133" s="66"/>
      <c r="BT133" s="58"/>
      <c r="BU133" s="54"/>
      <c r="BV133" s="58"/>
      <c r="BW133" s="58"/>
      <c r="BX133" s="58"/>
      <c r="BY133" s="91"/>
      <c r="BZ133" s="115"/>
      <c r="CA133" s="115"/>
      <c r="CB133" s="54"/>
      <c r="CC133" s="54"/>
      <c r="CD133" s="54"/>
      <c r="CE133" s="54"/>
      <c r="CF133" s="54"/>
      <c r="CG133" s="60"/>
      <c r="CH133" s="61"/>
      <c r="CI133" s="200"/>
      <c r="CJ133" s="312"/>
      <c r="CK133" s="346">
        <f t="shared" si="56"/>
        <v>0</v>
      </c>
    </row>
    <row r="134" spans="1:89" ht="17.25" customHeight="1" x14ac:dyDescent="0.2">
      <c r="A134" s="4"/>
      <c r="B134" s="27"/>
      <c r="C134" s="28"/>
      <c r="D134" s="28" t="s">
        <v>167</v>
      </c>
      <c r="E134" s="29"/>
      <c r="F134" s="28"/>
      <c r="G134" s="30">
        <v>79.94</v>
      </c>
      <c r="H134" s="31"/>
      <c r="I134" s="30">
        <v>2916.63</v>
      </c>
      <c r="J134" s="31"/>
      <c r="K134" s="30">
        <f t="shared" ref="K134:K141" si="121">ROUND((G134-I134),5)</f>
        <v>-2836.69</v>
      </c>
      <c r="L134" s="31"/>
      <c r="M134" s="32">
        <f t="shared" ref="M134:M141" si="122">ROUND(IF(I134=0, IF(G134=0, 0, 1), G134/I134),5)</f>
        <v>2.741E-2</v>
      </c>
      <c r="N134" s="31"/>
      <c r="O134" s="30">
        <v>74.95</v>
      </c>
      <c r="P134" s="31"/>
      <c r="Q134" s="30">
        <v>2916.67</v>
      </c>
      <c r="R134" s="31"/>
      <c r="S134" s="30">
        <f t="shared" ref="S134:S141" si="123">ROUND((O134-Q134),5)</f>
        <v>-2841.72</v>
      </c>
      <c r="T134" s="31"/>
      <c r="U134" s="32">
        <f t="shared" ref="U134:U141" si="124">ROUND(IF(Q134=0, IF(O134=0, 0, 1), O134/Q134),5)</f>
        <v>2.5700000000000001E-2</v>
      </c>
      <c r="V134" s="31"/>
      <c r="W134" s="33">
        <v>5092.5</v>
      </c>
      <c r="X134" s="33"/>
      <c r="Y134" s="33">
        <v>2916.67</v>
      </c>
      <c r="Z134" s="33"/>
      <c r="AA134" s="33">
        <f t="shared" ref="AA134:AA141" si="125">ROUND((W134-Y134),5)</f>
        <v>2175.83</v>
      </c>
      <c r="AB134" s="33"/>
      <c r="AC134" s="33"/>
      <c r="AD134" s="34"/>
      <c r="AE134" s="34"/>
      <c r="AF134" s="49">
        <v>30976.31</v>
      </c>
      <c r="AG134" s="50"/>
      <c r="AH134" s="51">
        <v>35000</v>
      </c>
      <c r="AI134" s="51"/>
      <c r="AJ134" s="51">
        <v>18260.55</v>
      </c>
      <c r="AK134" s="51"/>
      <c r="AL134" s="51">
        <v>35000</v>
      </c>
      <c r="AM134" s="51"/>
      <c r="AN134" s="51">
        <v>23327.46</v>
      </c>
      <c r="AO134" s="51"/>
      <c r="AP134" s="51">
        <v>15978.93</v>
      </c>
      <c r="AQ134" s="51"/>
      <c r="AR134" s="51">
        <f>ROUND(I134+Q134+Y134,5)</f>
        <v>8749.9699999999993</v>
      </c>
      <c r="AS134" s="51">
        <f t="shared" ref="AS134:AS154" si="126">AP134*2</f>
        <v>31957.86</v>
      </c>
      <c r="AT134" s="51"/>
      <c r="AU134" s="65"/>
      <c r="AV134" s="54">
        <v>35000</v>
      </c>
      <c r="AW134" s="55"/>
      <c r="AX134" s="56">
        <f t="shared" si="73"/>
        <v>-11672.54</v>
      </c>
      <c r="AY134" s="88"/>
      <c r="AZ134" s="89">
        <v>23072.47</v>
      </c>
      <c r="BA134" s="54"/>
      <c r="BB134" s="54"/>
      <c r="BC134" s="60"/>
      <c r="BD134" s="54">
        <v>30255.22</v>
      </c>
      <c r="BE134" s="54"/>
      <c r="BF134" s="54"/>
      <c r="BG134" s="54">
        <v>35000</v>
      </c>
      <c r="BH134" s="54"/>
      <c r="BI134" s="57">
        <v>36002.720000000001</v>
      </c>
      <c r="BJ134" s="54"/>
      <c r="BK134" s="54">
        <v>25000</v>
      </c>
      <c r="BL134" s="54"/>
      <c r="BM134" s="58">
        <f t="shared" ref="BM134:BM154" si="127">BK134-BG134</f>
        <v>-10000</v>
      </c>
      <c r="BN134" s="58"/>
      <c r="BO134" s="54">
        <v>15518.7</v>
      </c>
      <c r="BP134" s="54"/>
      <c r="BQ134" s="66">
        <v>30466.82</v>
      </c>
      <c r="BR134" s="66"/>
      <c r="BS134" s="66">
        <f t="shared" ref="BS134:BS185" si="128">BQ134-BK134</f>
        <v>5466.82</v>
      </c>
      <c r="BT134" s="58"/>
      <c r="BU134" s="54">
        <v>25000</v>
      </c>
      <c r="BV134" s="58"/>
      <c r="BW134" s="58">
        <f t="shared" si="71"/>
        <v>0</v>
      </c>
      <c r="BX134" s="58"/>
      <c r="BY134" s="216" t="s">
        <v>289</v>
      </c>
      <c r="BZ134" s="115">
        <v>3932.92</v>
      </c>
      <c r="CA134" s="115"/>
      <c r="CB134" s="217">
        <v>33000</v>
      </c>
      <c r="CC134" s="217"/>
      <c r="CD134" s="217">
        <v>7123.82</v>
      </c>
      <c r="CE134" s="217"/>
      <c r="CF134" s="217">
        <v>30360</v>
      </c>
      <c r="CG134" s="218"/>
      <c r="CH134" s="61">
        <f>CF134-CB134</f>
        <v>-2640</v>
      </c>
      <c r="CI134" s="200"/>
      <c r="CJ134" s="313" t="s">
        <v>307</v>
      </c>
      <c r="CK134" s="346">
        <f t="shared" si="56"/>
        <v>2530</v>
      </c>
    </row>
    <row r="135" spans="1:89" ht="17.25" customHeight="1" thickBot="1" x14ac:dyDescent="0.25">
      <c r="A135" s="4"/>
      <c r="B135" s="27"/>
      <c r="C135" s="28"/>
      <c r="D135" s="28" t="s">
        <v>71</v>
      </c>
      <c r="E135" s="29"/>
      <c r="F135" s="28"/>
      <c r="G135" s="30">
        <v>1597.78</v>
      </c>
      <c r="H135" s="31"/>
      <c r="I135" s="30">
        <v>2083.37</v>
      </c>
      <c r="J135" s="31"/>
      <c r="K135" s="30">
        <f t="shared" si="121"/>
        <v>-485.59</v>
      </c>
      <c r="L135" s="31"/>
      <c r="M135" s="32">
        <f t="shared" si="122"/>
        <v>0.76692000000000005</v>
      </c>
      <c r="N135" s="31"/>
      <c r="O135" s="30">
        <v>95</v>
      </c>
      <c r="P135" s="31"/>
      <c r="Q135" s="30">
        <v>2083.33</v>
      </c>
      <c r="R135" s="31"/>
      <c r="S135" s="30">
        <f t="shared" si="123"/>
        <v>-1988.33</v>
      </c>
      <c r="T135" s="31"/>
      <c r="U135" s="32">
        <f t="shared" si="124"/>
        <v>4.5600000000000002E-2</v>
      </c>
      <c r="V135" s="31"/>
      <c r="W135" s="33">
        <f>1958.23+707.5</f>
        <v>2665.73</v>
      </c>
      <c r="X135" s="33"/>
      <c r="Y135" s="33">
        <v>2083.33</v>
      </c>
      <c r="Z135" s="33"/>
      <c r="AA135" s="33">
        <f t="shared" si="125"/>
        <v>582.4</v>
      </c>
      <c r="AB135" s="33"/>
      <c r="AC135" s="33"/>
      <c r="AD135" s="34"/>
      <c r="AE135" s="34"/>
      <c r="AF135" s="71"/>
      <c r="AG135" s="72"/>
      <c r="AH135" s="73">
        <v>30000</v>
      </c>
      <c r="AI135" s="73"/>
      <c r="AJ135" s="73">
        <v>10705.93</v>
      </c>
      <c r="AK135" s="73"/>
      <c r="AL135" s="73">
        <v>25000</v>
      </c>
      <c r="AM135" s="73"/>
      <c r="AN135" s="73">
        <v>7499.88</v>
      </c>
      <c r="AO135" s="73"/>
      <c r="AP135" s="73">
        <v>5491.21</v>
      </c>
      <c r="AQ135" s="73"/>
      <c r="AR135" s="73">
        <f>ROUND(I135+Q135+Y135,5)</f>
        <v>6250.03</v>
      </c>
      <c r="AS135" s="73">
        <f t="shared" si="126"/>
        <v>10982.42</v>
      </c>
      <c r="AT135" s="73"/>
      <c r="AU135" s="116"/>
      <c r="AV135" s="93">
        <v>25000</v>
      </c>
      <c r="AW135" s="94"/>
      <c r="AX135" s="95">
        <f t="shared" si="73"/>
        <v>-17500.12</v>
      </c>
      <c r="AY135" s="96"/>
      <c r="AZ135" s="97">
        <v>697.49</v>
      </c>
      <c r="BA135" s="93"/>
      <c r="BB135" s="93"/>
      <c r="BC135" s="99"/>
      <c r="BD135" s="93">
        <v>4725.47</v>
      </c>
      <c r="BE135" s="93"/>
      <c r="BF135" s="93"/>
      <c r="BG135" s="93">
        <v>20000</v>
      </c>
      <c r="BH135" s="93"/>
      <c r="BI135" s="100">
        <v>13368.87</v>
      </c>
      <c r="BJ135" s="93"/>
      <c r="BK135" s="93">
        <v>5600</v>
      </c>
      <c r="BL135" s="93"/>
      <c r="BM135" s="101">
        <f t="shared" si="127"/>
        <v>-14400</v>
      </c>
      <c r="BN135" s="101"/>
      <c r="BO135" s="93">
        <v>2780.52</v>
      </c>
      <c r="BP135" s="93"/>
      <c r="BQ135" s="102">
        <v>6036.71</v>
      </c>
      <c r="BR135" s="102"/>
      <c r="BS135" s="102">
        <f t="shared" si="128"/>
        <v>436.71000000000004</v>
      </c>
      <c r="BT135" s="101"/>
      <c r="BU135" s="93">
        <v>7500</v>
      </c>
      <c r="BV135" s="101"/>
      <c r="BW135" s="101">
        <f t="shared" si="71"/>
        <v>1900</v>
      </c>
      <c r="BX135" s="58"/>
      <c r="BY135" s="216" t="s">
        <v>290</v>
      </c>
      <c r="BZ135" s="118">
        <v>9770.93</v>
      </c>
      <c r="CA135" s="118"/>
      <c r="CB135" s="219">
        <v>12000</v>
      </c>
      <c r="CC135" s="219"/>
      <c r="CD135" s="219">
        <v>0</v>
      </c>
      <c r="CE135" s="219"/>
      <c r="CF135" s="219">
        <v>10200</v>
      </c>
      <c r="CG135" s="220"/>
      <c r="CH135" s="103">
        <f>CF135-CB135</f>
        <v>-1800</v>
      </c>
      <c r="CI135" s="129"/>
      <c r="CJ135" s="314" t="s">
        <v>308</v>
      </c>
      <c r="CK135" s="346">
        <f t="shared" si="56"/>
        <v>850</v>
      </c>
    </row>
    <row r="136" spans="1:89" ht="18" customHeight="1" thickBot="1" x14ac:dyDescent="0.25">
      <c r="A136" s="4"/>
      <c r="B136" s="27"/>
      <c r="C136" s="28" t="s">
        <v>72</v>
      </c>
      <c r="D136" s="28"/>
      <c r="E136" s="29"/>
      <c r="F136" s="28"/>
      <c r="G136" s="30">
        <f>ROUND(SUM(G133:G135),5)</f>
        <v>1677.72</v>
      </c>
      <c r="H136" s="31"/>
      <c r="I136" s="30">
        <f>ROUND(SUM(I133:I135),5)</f>
        <v>5000</v>
      </c>
      <c r="J136" s="31"/>
      <c r="K136" s="30">
        <f t="shared" si="121"/>
        <v>-3322.28</v>
      </c>
      <c r="L136" s="31"/>
      <c r="M136" s="32">
        <f t="shared" si="122"/>
        <v>0.33554</v>
      </c>
      <c r="N136" s="31"/>
      <c r="O136" s="30">
        <f>ROUND(SUM(O133:O135),5)</f>
        <v>169.95</v>
      </c>
      <c r="P136" s="31"/>
      <c r="Q136" s="30">
        <f>ROUND(SUM(Q133:Q135),5)</f>
        <v>5000</v>
      </c>
      <c r="R136" s="31"/>
      <c r="S136" s="30">
        <f t="shared" si="123"/>
        <v>-4830.05</v>
      </c>
      <c r="T136" s="31"/>
      <c r="U136" s="32">
        <f t="shared" si="124"/>
        <v>3.3989999999999999E-2</v>
      </c>
      <c r="V136" s="31"/>
      <c r="W136" s="76">
        <f>SUM(W134:W135)</f>
        <v>7758.23</v>
      </c>
      <c r="X136" s="76"/>
      <c r="Y136" s="76">
        <f>SUM(Y134:Y135)</f>
        <v>5000</v>
      </c>
      <c r="Z136" s="76"/>
      <c r="AA136" s="76">
        <f t="shared" si="125"/>
        <v>2758.23</v>
      </c>
      <c r="AB136" s="76"/>
      <c r="AC136" s="76"/>
      <c r="AD136" s="77">
        <v>40000</v>
      </c>
      <c r="AE136" s="77"/>
      <c r="AF136" s="39">
        <f>AF134</f>
        <v>30976.31</v>
      </c>
      <c r="AG136" s="40"/>
      <c r="AH136" s="41">
        <f>AH134+AH135</f>
        <v>65000</v>
      </c>
      <c r="AI136" s="41"/>
      <c r="AJ136" s="41">
        <v>28966.48</v>
      </c>
      <c r="AK136" s="41"/>
      <c r="AL136" s="41">
        <f>AL134+AL135</f>
        <v>60000</v>
      </c>
      <c r="AM136" s="41"/>
      <c r="AN136" s="41">
        <f>AN134+AN135</f>
        <v>30827.34</v>
      </c>
      <c r="AO136" s="41"/>
      <c r="AP136" s="41">
        <f>SUM(AP134:AP135)</f>
        <v>21470.14</v>
      </c>
      <c r="AQ136" s="41"/>
      <c r="AR136" s="41">
        <f>SUM(AR134:AR135)</f>
        <v>15000</v>
      </c>
      <c r="AS136" s="41">
        <f t="shared" si="126"/>
        <v>42940.28</v>
      </c>
      <c r="AT136" s="41"/>
      <c r="AU136" s="42"/>
      <c r="AV136" s="79">
        <f>AV134+AV135</f>
        <v>60000</v>
      </c>
      <c r="AW136" s="80"/>
      <c r="AX136" s="81">
        <f t="shared" si="73"/>
        <v>-29172.66</v>
      </c>
      <c r="AY136" s="88"/>
      <c r="AZ136" s="89">
        <v>23769.96</v>
      </c>
      <c r="BA136" s="79"/>
      <c r="BB136" s="79"/>
      <c r="BC136" s="83"/>
      <c r="BD136" s="79">
        <f>SUM(BD134:BD135)</f>
        <v>34980.69</v>
      </c>
      <c r="BE136" s="79"/>
      <c r="BF136" s="79"/>
      <c r="BG136" s="79">
        <f>BG134+BG135</f>
        <v>55000</v>
      </c>
      <c r="BH136" s="79"/>
      <c r="BI136" s="79">
        <f>BI134+BI135</f>
        <v>49371.590000000004</v>
      </c>
      <c r="BJ136" s="79"/>
      <c r="BK136" s="79">
        <f>BK134+BK135</f>
        <v>30600</v>
      </c>
      <c r="BL136" s="79"/>
      <c r="BM136" s="84">
        <f t="shared" si="127"/>
        <v>-24400</v>
      </c>
      <c r="BN136" s="84"/>
      <c r="BO136" s="79">
        <f>BO134+BO135</f>
        <v>18299.22</v>
      </c>
      <c r="BP136" s="79"/>
      <c r="BQ136" s="79">
        <f>BQ134+BQ135</f>
        <v>36503.53</v>
      </c>
      <c r="BR136" s="85"/>
      <c r="BS136" s="85">
        <f t="shared" si="128"/>
        <v>5903.5299999999988</v>
      </c>
      <c r="BT136" s="84"/>
      <c r="BU136" s="79">
        <f>SUM(BU134:BU135)</f>
        <v>32500</v>
      </c>
      <c r="BV136" s="84"/>
      <c r="BW136" s="84">
        <f t="shared" si="71"/>
        <v>1900</v>
      </c>
      <c r="BX136" s="58"/>
      <c r="BY136" s="91"/>
      <c r="BZ136" s="83">
        <f>SUM(BZ134:BZ135)</f>
        <v>13703.85</v>
      </c>
      <c r="CA136" s="83"/>
      <c r="CB136" s="79">
        <f>SUM(CB134:CB135)</f>
        <v>45000</v>
      </c>
      <c r="CC136" s="79"/>
      <c r="CD136" s="79">
        <f>SUM(CD134:CD135)</f>
        <v>7123.82</v>
      </c>
      <c r="CE136" s="79"/>
      <c r="CF136" s="79">
        <f>SUM(CF134:CF135)</f>
        <v>40560</v>
      </c>
      <c r="CG136" s="83"/>
      <c r="CH136" s="112">
        <f t="shared" si="76"/>
        <v>12500</v>
      </c>
      <c r="CI136" s="199"/>
      <c r="CJ136" s="311"/>
      <c r="CK136" s="346">
        <f t="shared" si="56"/>
        <v>3380</v>
      </c>
    </row>
    <row r="137" spans="1:89" ht="18.75" hidden="1" customHeight="1" x14ac:dyDescent="0.2">
      <c r="A137" s="4"/>
      <c r="B137" s="27"/>
      <c r="C137" s="28"/>
      <c r="D137" s="28" t="s">
        <v>100</v>
      </c>
      <c r="E137" s="29"/>
      <c r="F137" s="28"/>
      <c r="G137" s="30">
        <v>1412.1</v>
      </c>
      <c r="H137" s="31"/>
      <c r="I137" s="30">
        <v>0</v>
      </c>
      <c r="J137" s="31"/>
      <c r="K137" s="30">
        <f t="shared" si="121"/>
        <v>1412.1</v>
      </c>
      <c r="L137" s="31"/>
      <c r="M137" s="32">
        <f t="shared" si="122"/>
        <v>1</v>
      </c>
      <c r="N137" s="31"/>
      <c r="O137" s="30">
        <v>1068.96</v>
      </c>
      <c r="P137" s="31"/>
      <c r="Q137" s="30">
        <v>0</v>
      </c>
      <c r="R137" s="31"/>
      <c r="S137" s="30">
        <f t="shared" si="123"/>
        <v>1068.96</v>
      </c>
      <c r="T137" s="31"/>
      <c r="U137" s="32">
        <f t="shared" si="124"/>
        <v>1</v>
      </c>
      <c r="V137" s="31"/>
      <c r="W137" s="33">
        <v>5034.88</v>
      </c>
      <c r="X137" s="33"/>
      <c r="Y137" s="33">
        <v>0</v>
      </c>
      <c r="Z137" s="33"/>
      <c r="AA137" s="33">
        <f t="shared" si="125"/>
        <v>5034.88</v>
      </c>
      <c r="AB137" s="33"/>
      <c r="AC137" s="33"/>
      <c r="AD137" s="34"/>
      <c r="AE137" s="34"/>
      <c r="AF137" s="49"/>
      <c r="AG137" s="50"/>
      <c r="AH137" s="51"/>
      <c r="AI137" s="51"/>
      <c r="AJ137" s="51"/>
      <c r="AK137" s="51"/>
      <c r="AL137" s="51"/>
      <c r="AM137" s="51"/>
      <c r="AN137" s="51">
        <f t="shared" ref="AN137:AN153" si="129">AP137*4</f>
        <v>30063.759999999998</v>
      </c>
      <c r="AO137" s="51"/>
      <c r="AP137" s="51">
        <f t="shared" ref="AP137:AP153" si="130">ROUND(G137+O137+W137,5)</f>
        <v>7515.94</v>
      </c>
      <c r="AQ137" s="51"/>
      <c r="AR137" s="51">
        <f>ROUND(I137+Q137+Y137,5)</f>
        <v>0</v>
      </c>
      <c r="AS137" s="51">
        <f t="shared" si="126"/>
        <v>15031.88</v>
      </c>
      <c r="AT137" s="51"/>
      <c r="AU137" s="65"/>
      <c r="AV137" s="54"/>
      <c r="AW137" s="55"/>
      <c r="AX137" s="56">
        <f t="shared" si="73"/>
        <v>30063.759999999998</v>
      </c>
      <c r="AY137" s="88"/>
      <c r="AZ137" s="89">
        <v>60983.54</v>
      </c>
      <c r="BA137" s="54"/>
      <c r="BB137" s="54"/>
      <c r="BC137" s="60"/>
      <c r="BD137" s="54">
        <f t="shared" ref="BD137:BD153" si="131">AZ137*2</f>
        <v>121967.08</v>
      </c>
      <c r="BE137" s="54"/>
      <c r="BF137" s="54"/>
      <c r="BG137" s="54"/>
      <c r="BH137" s="54"/>
      <c r="BI137" s="57"/>
      <c r="BJ137" s="54"/>
      <c r="BK137" s="54"/>
      <c r="BL137" s="54"/>
      <c r="BM137" s="58">
        <f t="shared" si="127"/>
        <v>0</v>
      </c>
      <c r="BN137" s="58"/>
      <c r="BO137" s="54"/>
      <c r="BP137" s="54"/>
      <c r="BQ137" s="66">
        <f t="shared" ref="BQ137:BQ183" si="132">BO137*2</f>
        <v>0</v>
      </c>
      <c r="BR137" s="66"/>
      <c r="BS137" s="66">
        <f t="shared" si="128"/>
        <v>0</v>
      </c>
      <c r="BT137" s="58"/>
      <c r="BU137" s="54">
        <f t="shared" ref="BU137:BU153" si="133">BM137-BI137</f>
        <v>0</v>
      </c>
      <c r="BV137" s="58"/>
      <c r="BW137" s="58">
        <f t="shared" si="71"/>
        <v>0</v>
      </c>
      <c r="BX137" s="58"/>
      <c r="BY137" s="91"/>
      <c r="BZ137" s="66">
        <f t="shared" ref="BZ137:BZ153" si="134">BX137*2</f>
        <v>0</v>
      </c>
      <c r="CA137" s="66"/>
      <c r="CB137" s="54">
        <f t="shared" ref="CB137:CB153" si="135">BS137-BO137</f>
        <v>0</v>
      </c>
      <c r="CC137" s="54"/>
      <c r="CD137" s="54">
        <f t="shared" ref="CD137:CD153" si="136">BT137-BP137</f>
        <v>0</v>
      </c>
      <c r="CE137" s="54"/>
      <c r="CF137" s="54">
        <f t="shared" ref="CF137:CF153" si="137">BU137-BQ137</f>
        <v>0</v>
      </c>
      <c r="CG137" s="132"/>
      <c r="CH137" s="200">
        <f t="shared" si="76"/>
        <v>0</v>
      </c>
      <c r="CI137" s="200"/>
      <c r="CJ137" s="312"/>
      <c r="CK137" s="346">
        <f t="shared" si="56"/>
        <v>0</v>
      </c>
    </row>
    <row r="138" spans="1:89" ht="18.75" hidden="1" customHeight="1" x14ac:dyDescent="0.2">
      <c r="A138" s="4"/>
      <c r="B138" s="27"/>
      <c r="C138" s="28"/>
      <c r="D138" s="28" t="s">
        <v>101</v>
      </c>
      <c r="E138" s="29"/>
      <c r="F138" s="28"/>
      <c r="G138" s="30">
        <v>320</v>
      </c>
      <c r="H138" s="31"/>
      <c r="I138" s="30">
        <v>0</v>
      </c>
      <c r="J138" s="31"/>
      <c r="K138" s="30">
        <f t="shared" si="121"/>
        <v>320</v>
      </c>
      <c r="L138" s="31"/>
      <c r="M138" s="32">
        <f t="shared" si="122"/>
        <v>1</v>
      </c>
      <c r="N138" s="31"/>
      <c r="O138" s="30">
        <v>300</v>
      </c>
      <c r="P138" s="31"/>
      <c r="Q138" s="30">
        <v>0</v>
      </c>
      <c r="R138" s="31"/>
      <c r="S138" s="30">
        <f t="shared" si="123"/>
        <v>300</v>
      </c>
      <c r="T138" s="31"/>
      <c r="U138" s="32">
        <f t="shared" si="124"/>
        <v>1</v>
      </c>
      <c r="V138" s="31"/>
      <c r="W138" s="33">
        <v>0</v>
      </c>
      <c r="X138" s="33"/>
      <c r="Y138" s="33">
        <v>0</v>
      </c>
      <c r="Z138" s="33"/>
      <c r="AA138" s="33">
        <f t="shared" si="125"/>
        <v>0</v>
      </c>
      <c r="AB138" s="33"/>
      <c r="AC138" s="33"/>
      <c r="AD138" s="34"/>
      <c r="AE138" s="34"/>
      <c r="AF138" s="49"/>
      <c r="AG138" s="50"/>
      <c r="AH138" s="51"/>
      <c r="AI138" s="51"/>
      <c r="AJ138" s="51"/>
      <c r="AK138" s="51"/>
      <c r="AL138" s="51"/>
      <c r="AM138" s="51"/>
      <c r="AN138" s="51">
        <f t="shared" si="129"/>
        <v>2480</v>
      </c>
      <c r="AO138" s="51"/>
      <c r="AP138" s="51">
        <f t="shared" si="130"/>
        <v>620</v>
      </c>
      <c r="AQ138" s="51"/>
      <c r="AR138" s="51">
        <f>ROUND(I138+Q138+Y138,5)</f>
        <v>0</v>
      </c>
      <c r="AS138" s="51">
        <f t="shared" si="126"/>
        <v>1240</v>
      </c>
      <c r="AT138" s="51"/>
      <c r="AU138" s="65"/>
      <c r="AV138" s="54"/>
      <c r="AW138" s="55"/>
      <c r="AX138" s="56">
        <f t="shared" si="73"/>
        <v>2480</v>
      </c>
      <c r="AY138" s="88"/>
      <c r="AZ138" s="89"/>
      <c r="BA138" s="54"/>
      <c r="BB138" s="54"/>
      <c r="BC138" s="60"/>
      <c r="BD138" s="54">
        <f t="shared" si="131"/>
        <v>0</v>
      </c>
      <c r="BE138" s="54"/>
      <c r="BF138" s="54"/>
      <c r="BG138" s="54"/>
      <c r="BH138" s="54"/>
      <c r="BI138" s="54"/>
      <c r="BJ138" s="54"/>
      <c r="BK138" s="54"/>
      <c r="BL138" s="54"/>
      <c r="BM138" s="58">
        <f t="shared" si="127"/>
        <v>0</v>
      </c>
      <c r="BN138" s="58"/>
      <c r="BO138" s="54"/>
      <c r="BP138" s="54"/>
      <c r="BQ138" s="66">
        <f t="shared" si="132"/>
        <v>0</v>
      </c>
      <c r="BR138" s="66"/>
      <c r="BS138" s="66">
        <f t="shared" si="128"/>
        <v>0</v>
      </c>
      <c r="BT138" s="58"/>
      <c r="BU138" s="54">
        <f t="shared" si="133"/>
        <v>0</v>
      </c>
      <c r="BV138" s="58"/>
      <c r="BW138" s="58">
        <f t="shared" si="71"/>
        <v>0</v>
      </c>
      <c r="BX138" s="58"/>
      <c r="BY138" s="91"/>
      <c r="BZ138" s="66">
        <f t="shared" si="134"/>
        <v>0</v>
      </c>
      <c r="CA138" s="66"/>
      <c r="CB138" s="54">
        <f t="shared" si="135"/>
        <v>0</v>
      </c>
      <c r="CC138" s="54"/>
      <c r="CD138" s="54">
        <f t="shared" si="136"/>
        <v>0</v>
      </c>
      <c r="CE138" s="54"/>
      <c r="CF138" s="54">
        <f t="shared" si="137"/>
        <v>0</v>
      </c>
      <c r="CG138" s="132"/>
      <c r="CH138" s="200">
        <f t="shared" si="76"/>
        <v>0</v>
      </c>
      <c r="CI138" s="200"/>
      <c r="CJ138" s="312"/>
      <c r="CK138" s="346">
        <f t="shared" ref="CK138:CK185" si="138">CF138/12</f>
        <v>0</v>
      </c>
    </row>
    <row r="139" spans="1:89" ht="18.75" hidden="1" customHeight="1" x14ac:dyDescent="0.2">
      <c r="A139" s="4"/>
      <c r="B139" s="27"/>
      <c r="C139" s="28"/>
      <c r="D139" s="28" t="s">
        <v>102</v>
      </c>
      <c r="E139" s="29"/>
      <c r="F139" s="28"/>
      <c r="G139" s="30">
        <v>291.27</v>
      </c>
      <c r="H139" s="31"/>
      <c r="I139" s="30">
        <v>0</v>
      </c>
      <c r="J139" s="31"/>
      <c r="K139" s="30">
        <f t="shared" si="121"/>
        <v>291.27</v>
      </c>
      <c r="L139" s="31"/>
      <c r="M139" s="32">
        <f t="shared" si="122"/>
        <v>1</v>
      </c>
      <c r="N139" s="31"/>
      <c r="O139" s="30">
        <v>0</v>
      </c>
      <c r="P139" s="31"/>
      <c r="Q139" s="30">
        <v>0</v>
      </c>
      <c r="R139" s="31"/>
      <c r="S139" s="30">
        <f t="shared" si="123"/>
        <v>0</v>
      </c>
      <c r="T139" s="31"/>
      <c r="U139" s="32">
        <f t="shared" si="124"/>
        <v>0</v>
      </c>
      <c r="V139" s="31"/>
      <c r="W139" s="33">
        <v>190.25</v>
      </c>
      <c r="X139" s="33"/>
      <c r="Y139" s="33">
        <v>0</v>
      </c>
      <c r="Z139" s="33"/>
      <c r="AA139" s="33">
        <f t="shared" si="125"/>
        <v>190.25</v>
      </c>
      <c r="AB139" s="33"/>
      <c r="AC139" s="33"/>
      <c r="AD139" s="34"/>
      <c r="AE139" s="34"/>
      <c r="AF139" s="49"/>
      <c r="AG139" s="50"/>
      <c r="AH139" s="51"/>
      <c r="AI139" s="51"/>
      <c r="AJ139" s="51"/>
      <c r="AK139" s="51"/>
      <c r="AL139" s="51"/>
      <c r="AM139" s="51"/>
      <c r="AN139" s="51">
        <f t="shared" si="129"/>
        <v>1926.08</v>
      </c>
      <c r="AO139" s="51"/>
      <c r="AP139" s="51">
        <f t="shared" si="130"/>
        <v>481.52</v>
      </c>
      <c r="AQ139" s="51"/>
      <c r="AR139" s="51">
        <f>ROUND(I139+Q139+Y139,5)</f>
        <v>0</v>
      </c>
      <c r="AS139" s="51">
        <f t="shared" si="126"/>
        <v>963.04</v>
      </c>
      <c r="AT139" s="51"/>
      <c r="AU139" s="65"/>
      <c r="AV139" s="54"/>
      <c r="AW139" s="55"/>
      <c r="AX139" s="56">
        <f t="shared" si="73"/>
        <v>1926.08</v>
      </c>
      <c r="AY139" s="88"/>
      <c r="AZ139" s="89">
        <v>4932.24</v>
      </c>
      <c r="BA139" s="54"/>
      <c r="BB139" s="54"/>
      <c r="BC139" s="60"/>
      <c r="BD139" s="54">
        <f t="shared" si="131"/>
        <v>9864.48</v>
      </c>
      <c r="BE139" s="54"/>
      <c r="BF139" s="54"/>
      <c r="BG139" s="54"/>
      <c r="BH139" s="54"/>
      <c r="BI139" s="54"/>
      <c r="BJ139" s="54"/>
      <c r="BK139" s="54"/>
      <c r="BL139" s="54"/>
      <c r="BM139" s="58">
        <f t="shared" si="127"/>
        <v>0</v>
      </c>
      <c r="BN139" s="58"/>
      <c r="BO139" s="54"/>
      <c r="BP139" s="54"/>
      <c r="BQ139" s="66">
        <f t="shared" si="132"/>
        <v>0</v>
      </c>
      <c r="BR139" s="66"/>
      <c r="BS139" s="66">
        <f t="shared" si="128"/>
        <v>0</v>
      </c>
      <c r="BT139" s="58"/>
      <c r="BU139" s="54">
        <f t="shared" si="133"/>
        <v>0</v>
      </c>
      <c r="BV139" s="58"/>
      <c r="BW139" s="58">
        <f t="shared" si="71"/>
        <v>0</v>
      </c>
      <c r="BX139" s="58"/>
      <c r="BY139" s="91"/>
      <c r="BZ139" s="66">
        <f t="shared" si="134"/>
        <v>0</v>
      </c>
      <c r="CA139" s="66"/>
      <c r="CB139" s="54">
        <f t="shared" si="135"/>
        <v>0</v>
      </c>
      <c r="CC139" s="54"/>
      <c r="CD139" s="54">
        <f t="shared" si="136"/>
        <v>0</v>
      </c>
      <c r="CE139" s="54"/>
      <c r="CF139" s="54">
        <f t="shared" si="137"/>
        <v>0</v>
      </c>
      <c r="CG139" s="132"/>
      <c r="CH139" s="200">
        <f t="shared" si="76"/>
        <v>0</v>
      </c>
      <c r="CI139" s="200"/>
      <c r="CJ139" s="312"/>
      <c r="CK139" s="346">
        <f t="shared" si="138"/>
        <v>0</v>
      </c>
    </row>
    <row r="140" spans="1:89" ht="18.75" hidden="1" customHeight="1" x14ac:dyDescent="0.2">
      <c r="A140" s="4"/>
      <c r="B140" s="27"/>
      <c r="C140" s="28"/>
      <c r="D140" s="28" t="s">
        <v>103</v>
      </c>
      <c r="E140" s="29"/>
      <c r="F140" s="28"/>
      <c r="G140" s="30">
        <v>0</v>
      </c>
      <c r="H140" s="31"/>
      <c r="I140" s="30">
        <v>0</v>
      </c>
      <c r="J140" s="31"/>
      <c r="K140" s="30">
        <f t="shared" si="121"/>
        <v>0</v>
      </c>
      <c r="L140" s="31"/>
      <c r="M140" s="32">
        <f t="shared" si="122"/>
        <v>0</v>
      </c>
      <c r="N140" s="31"/>
      <c r="O140" s="30">
        <v>0</v>
      </c>
      <c r="P140" s="31"/>
      <c r="Q140" s="30">
        <v>0</v>
      </c>
      <c r="R140" s="31"/>
      <c r="S140" s="30">
        <f t="shared" si="123"/>
        <v>0</v>
      </c>
      <c r="T140" s="31"/>
      <c r="U140" s="32">
        <f t="shared" si="124"/>
        <v>0</v>
      </c>
      <c r="V140" s="31"/>
      <c r="W140" s="33">
        <v>105</v>
      </c>
      <c r="X140" s="33"/>
      <c r="Y140" s="33">
        <v>0</v>
      </c>
      <c r="Z140" s="33"/>
      <c r="AA140" s="33">
        <f t="shared" si="125"/>
        <v>105</v>
      </c>
      <c r="AB140" s="33"/>
      <c r="AC140" s="33"/>
      <c r="AD140" s="34"/>
      <c r="AE140" s="34"/>
      <c r="AF140" s="49"/>
      <c r="AG140" s="50"/>
      <c r="AH140" s="51"/>
      <c r="AI140" s="51"/>
      <c r="AJ140" s="51"/>
      <c r="AK140" s="51"/>
      <c r="AL140" s="51"/>
      <c r="AM140" s="51"/>
      <c r="AN140" s="51">
        <f t="shared" si="129"/>
        <v>420</v>
      </c>
      <c r="AO140" s="51"/>
      <c r="AP140" s="51">
        <f t="shared" si="130"/>
        <v>105</v>
      </c>
      <c r="AQ140" s="51"/>
      <c r="AR140" s="51">
        <f>ROUND(I140+Q140+Y140,5)</f>
        <v>0</v>
      </c>
      <c r="AS140" s="51">
        <f t="shared" si="126"/>
        <v>210</v>
      </c>
      <c r="AT140" s="51"/>
      <c r="AU140" s="65"/>
      <c r="AV140" s="54"/>
      <c r="AW140" s="55"/>
      <c r="AX140" s="56">
        <f t="shared" si="73"/>
        <v>420</v>
      </c>
      <c r="AY140" s="88"/>
      <c r="AZ140" s="97">
        <v>14104.44</v>
      </c>
      <c r="BA140" s="54"/>
      <c r="BB140" s="54"/>
      <c r="BC140" s="60"/>
      <c r="BD140" s="54">
        <f t="shared" si="131"/>
        <v>28208.880000000001</v>
      </c>
      <c r="BE140" s="54"/>
      <c r="BF140" s="54"/>
      <c r="BG140" s="54"/>
      <c r="BH140" s="54"/>
      <c r="BI140" s="54"/>
      <c r="BJ140" s="54"/>
      <c r="BK140" s="54"/>
      <c r="BL140" s="54"/>
      <c r="BM140" s="58">
        <f t="shared" si="127"/>
        <v>0</v>
      </c>
      <c r="BN140" s="58"/>
      <c r="BO140" s="54"/>
      <c r="BP140" s="54"/>
      <c r="BQ140" s="66">
        <f t="shared" si="132"/>
        <v>0</v>
      </c>
      <c r="BR140" s="66"/>
      <c r="BS140" s="66">
        <f t="shared" si="128"/>
        <v>0</v>
      </c>
      <c r="BT140" s="58"/>
      <c r="BU140" s="54">
        <f t="shared" si="133"/>
        <v>0</v>
      </c>
      <c r="BV140" s="58"/>
      <c r="BW140" s="58">
        <f t="shared" si="71"/>
        <v>0</v>
      </c>
      <c r="BX140" s="58"/>
      <c r="BY140" s="91"/>
      <c r="BZ140" s="66">
        <f t="shared" si="134"/>
        <v>0</v>
      </c>
      <c r="CA140" s="66"/>
      <c r="CB140" s="54">
        <f t="shared" si="135"/>
        <v>0</v>
      </c>
      <c r="CC140" s="54"/>
      <c r="CD140" s="54">
        <f t="shared" si="136"/>
        <v>0</v>
      </c>
      <c r="CE140" s="54"/>
      <c r="CF140" s="54">
        <f t="shared" si="137"/>
        <v>0</v>
      </c>
      <c r="CG140" s="132"/>
      <c r="CH140" s="200">
        <f t="shared" si="76"/>
        <v>0</v>
      </c>
      <c r="CI140" s="200"/>
      <c r="CJ140" s="312"/>
      <c r="CK140" s="346">
        <f t="shared" si="138"/>
        <v>0</v>
      </c>
    </row>
    <row r="141" spans="1:89" ht="18.75" hidden="1" customHeight="1" x14ac:dyDescent="0.2">
      <c r="A141" s="4"/>
      <c r="B141" s="27"/>
      <c r="C141" s="28"/>
      <c r="D141" s="28" t="s">
        <v>104</v>
      </c>
      <c r="E141" s="29"/>
      <c r="F141" s="28"/>
      <c r="G141" s="30">
        <v>119.26</v>
      </c>
      <c r="H141" s="31"/>
      <c r="I141" s="30">
        <v>0</v>
      </c>
      <c r="J141" s="31"/>
      <c r="K141" s="30">
        <f t="shared" si="121"/>
        <v>119.26</v>
      </c>
      <c r="L141" s="31"/>
      <c r="M141" s="32">
        <f t="shared" si="122"/>
        <v>1</v>
      </c>
      <c r="N141" s="31"/>
      <c r="O141" s="30">
        <v>60</v>
      </c>
      <c r="P141" s="31"/>
      <c r="Q141" s="30">
        <v>0</v>
      </c>
      <c r="R141" s="31"/>
      <c r="S141" s="30">
        <f t="shared" si="123"/>
        <v>60</v>
      </c>
      <c r="T141" s="31"/>
      <c r="U141" s="32">
        <f t="shared" si="124"/>
        <v>1</v>
      </c>
      <c r="V141" s="31"/>
      <c r="W141" s="33">
        <v>1246.93</v>
      </c>
      <c r="X141" s="33"/>
      <c r="Y141" s="33">
        <v>0</v>
      </c>
      <c r="Z141" s="33"/>
      <c r="AA141" s="33">
        <f t="shared" si="125"/>
        <v>1246.93</v>
      </c>
      <c r="AB141" s="33"/>
      <c r="AC141" s="33"/>
      <c r="AD141" s="34"/>
      <c r="AE141" s="34"/>
      <c r="AF141" s="49"/>
      <c r="AG141" s="50"/>
      <c r="AH141" s="51"/>
      <c r="AI141" s="51"/>
      <c r="AJ141" s="51"/>
      <c r="AK141" s="51"/>
      <c r="AL141" s="51"/>
      <c r="AM141" s="51"/>
      <c r="AN141" s="51">
        <f t="shared" si="129"/>
        <v>5704.76</v>
      </c>
      <c r="AO141" s="51"/>
      <c r="AP141" s="51">
        <f t="shared" si="130"/>
        <v>1426.19</v>
      </c>
      <c r="AQ141" s="51"/>
      <c r="AR141" s="51">
        <f>ROUND(I141+Q141+Y141,5)</f>
        <v>0</v>
      </c>
      <c r="AS141" s="51">
        <f t="shared" si="126"/>
        <v>2852.38</v>
      </c>
      <c r="AT141" s="51"/>
      <c r="AU141" s="65"/>
      <c r="AV141" s="54"/>
      <c r="AW141" s="55"/>
      <c r="AX141" s="56">
        <f t="shared" si="73"/>
        <v>5704.76</v>
      </c>
      <c r="AY141" s="88"/>
      <c r="AZ141" s="89">
        <v>19036.68</v>
      </c>
      <c r="BA141" s="54"/>
      <c r="BB141" s="54"/>
      <c r="BC141" s="60"/>
      <c r="BD141" s="54">
        <f t="shared" si="131"/>
        <v>38073.360000000001</v>
      </c>
      <c r="BE141" s="54"/>
      <c r="BF141" s="54"/>
      <c r="BG141" s="54"/>
      <c r="BH141" s="54"/>
      <c r="BI141" s="54"/>
      <c r="BJ141" s="54"/>
      <c r="BK141" s="54"/>
      <c r="BL141" s="54"/>
      <c r="BM141" s="58">
        <f t="shared" si="127"/>
        <v>0</v>
      </c>
      <c r="BN141" s="58"/>
      <c r="BO141" s="54"/>
      <c r="BP141" s="54"/>
      <c r="BQ141" s="66">
        <f t="shared" si="132"/>
        <v>0</v>
      </c>
      <c r="BR141" s="66"/>
      <c r="BS141" s="66">
        <f t="shared" si="128"/>
        <v>0</v>
      </c>
      <c r="BT141" s="58"/>
      <c r="BU141" s="54">
        <f t="shared" si="133"/>
        <v>0</v>
      </c>
      <c r="BV141" s="58"/>
      <c r="BW141" s="58">
        <f t="shared" si="71"/>
        <v>0</v>
      </c>
      <c r="BX141" s="58"/>
      <c r="BY141" s="91"/>
      <c r="BZ141" s="66">
        <f t="shared" si="134"/>
        <v>0</v>
      </c>
      <c r="CA141" s="66"/>
      <c r="CB141" s="54">
        <f t="shared" si="135"/>
        <v>0</v>
      </c>
      <c r="CC141" s="54"/>
      <c r="CD141" s="54">
        <f t="shared" si="136"/>
        <v>0</v>
      </c>
      <c r="CE141" s="54"/>
      <c r="CF141" s="54">
        <f t="shared" si="137"/>
        <v>0</v>
      </c>
      <c r="CG141" s="132"/>
      <c r="CH141" s="200">
        <f t="shared" si="76"/>
        <v>0</v>
      </c>
      <c r="CI141" s="200"/>
      <c r="CJ141" s="312"/>
      <c r="CK141" s="346">
        <f t="shared" si="138"/>
        <v>0</v>
      </c>
    </row>
    <row r="142" spans="1:89" ht="18.75" hidden="1" customHeight="1" x14ac:dyDescent="0.2">
      <c r="A142" s="4"/>
      <c r="B142" s="27"/>
      <c r="C142" s="28"/>
      <c r="D142" s="28" t="s">
        <v>105</v>
      </c>
      <c r="E142" s="29"/>
      <c r="F142" s="28"/>
      <c r="G142" s="30">
        <v>228.19</v>
      </c>
      <c r="H142" s="31"/>
      <c r="I142" s="30"/>
      <c r="J142" s="31"/>
      <c r="K142" s="30"/>
      <c r="L142" s="31"/>
      <c r="M142" s="32"/>
      <c r="N142" s="31"/>
      <c r="O142" s="30">
        <v>285.57</v>
      </c>
      <c r="P142" s="31"/>
      <c r="Q142" s="30"/>
      <c r="R142" s="31"/>
      <c r="S142" s="30"/>
      <c r="T142" s="31"/>
      <c r="U142" s="32"/>
      <c r="V142" s="31"/>
      <c r="W142" s="33">
        <v>140</v>
      </c>
      <c r="X142" s="33"/>
      <c r="Y142" s="33"/>
      <c r="Z142" s="33"/>
      <c r="AA142" s="33"/>
      <c r="AB142" s="33"/>
      <c r="AC142" s="33"/>
      <c r="AD142" s="34"/>
      <c r="AE142" s="34"/>
      <c r="AF142" s="49"/>
      <c r="AG142" s="50"/>
      <c r="AH142" s="51"/>
      <c r="AI142" s="51"/>
      <c r="AJ142" s="51"/>
      <c r="AK142" s="51"/>
      <c r="AL142" s="51"/>
      <c r="AM142" s="51"/>
      <c r="AN142" s="51">
        <f t="shared" si="129"/>
        <v>2615.04</v>
      </c>
      <c r="AO142" s="51"/>
      <c r="AP142" s="51">
        <f t="shared" si="130"/>
        <v>653.76</v>
      </c>
      <c r="AQ142" s="51"/>
      <c r="AR142" s="51"/>
      <c r="AS142" s="51">
        <f t="shared" si="126"/>
        <v>1307.52</v>
      </c>
      <c r="AT142" s="51"/>
      <c r="AU142" s="65"/>
      <c r="AV142" s="54"/>
      <c r="AW142" s="55"/>
      <c r="AX142" s="56">
        <f t="shared" si="73"/>
        <v>2615.04</v>
      </c>
      <c r="AY142" s="88"/>
      <c r="AZ142" s="89"/>
      <c r="BA142" s="54"/>
      <c r="BB142" s="54"/>
      <c r="BC142" s="60"/>
      <c r="BD142" s="54">
        <f t="shared" si="131"/>
        <v>0</v>
      </c>
      <c r="BE142" s="54"/>
      <c r="BF142" s="54"/>
      <c r="BG142" s="54"/>
      <c r="BH142" s="54"/>
      <c r="BI142" s="54"/>
      <c r="BJ142" s="54"/>
      <c r="BK142" s="54"/>
      <c r="BL142" s="54"/>
      <c r="BM142" s="58">
        <f t="shared" si="127"/>
        <v>0</v>
      </c>
      <c r="BN142" s="58"/>
      <c r="BO142" s="54"/>
      <c r="BP142" s="54"/>
      <c r="BQ142" s="66">
        <f t="shared" si="132"/>
        <v>0</v>
      </c>
      <c r="BR142" s="66"/>
      <c r="BS142" s="66">
        <f t="shared" si="128"/>
        <v>0</v>
      </c>
      <c r="BT142" s="58"/>
      <c r="BU142" s="54">
        <f t="shared" si="133"/>
        <v>0</v>
      </c>
      <c r="BV142" s="58"/>
      <c r="BW142" s="58">
        <f t="shared" si="71"/>
        <v>0</v>
      </c>
      <c r="BX142" s="58"/>
      <c r="BY142" s="91"/>
      <c r="BZ142" s="66">
        <f t="shared" si="134"/>
        <v>0</v>
      </c>
      <c r="CA142" s="66"/>
      <c r="CB142" s="54">
        <f t="shared" si="135"/>
        <v>0</v>
      </c>
      <c r="CC142" s="54"/>
      <c r="CD142" s="54">
        <f t="shared" si="136"/>
        <v>0</v>
      </c>
      <c r="CE142" s="54"/>
      <c r="CF142" s="54">
        <f t="shared" si="137"/>
        <v>0</v>
      </c>
      <c r="CG142" s="132"/>
      <c r="CH142" s="200">
        <f t="shared" si="76"/>
        <v>0</v>
      </c>
      <c r="CI142" s="200"/>
      <c r="CJ142" s="312"/>
      <c r="CK142" s="346">
        <f t="shared" si="138"/>
        <v>0</v>
      </c>
    </row>
    <row r="143" spans="1:89" ht="18.75" hidden="1" customHeight="1" x14ac:dyDescent="0.2">
      <c r="A143" s="4"/>
      <c r="B143" s="27"/>
      <c r="C143" s="28"/>
      <c r="D143" s="28" t="s">
        <v>106</v>
      </c>
      <c r="E143" s="29"/>
      <c r="F143" s="28"/>
      <c r="G143" s="30">
        <v>161.16</v>
      </c>
      <c r="H143" s="31"/>
      <c r="I143" s="30">
        <v>0</v>
      </c>
      <c r="J143" s="31"/>
      <c r="K143" s="30">
        <f t="shared" ref="K143:K154" si="139">ROUND((G143-I143),5)</f>
        <v>161.16</v>
      </c>
      <c r="L143" s="31"/>
      <c r="M143" s="32">
        <f t="shared" ref="M143:M154" si="140">ROUND(IF(I143=0, IF(G143=0, 0, 1), G143/I143),5)</f>
        <v>1</v>
      </c>
      <c r="N143" s="31"/>
      <c r="O143" s="30">
        <v>691</v>
      </c>
      <c r="P143" s="31"/>
      <c r="Q143" s="30">
        <v>0</v>
      </c>
      <c r="R143" s="31"/>
      <c r="S143" s="30">
        <f t="shared" ref="S143:S154" si="141">ROUND((O143-Q143),5)</f>
        <v>691</v>
      </c>
      <c r="T143" s="31"/>
      <c r="U143" s="32">
        <f t="shared" ref="U143:U154" si="142">ROUND(IF(Q143=0, IF(O143=0, 0, 1), O143/Q143),5)</f>
        <v>1</v>
      </c>
      <c r="V143" s="31"/>
      <c r="W143" s="33">
        <v>804.2</v>
      </c>
      <c r="X143" s="33"/>
      <c r="Y143" s="33">
        <v>0</v>
      </c>
      <c r="Z143" s="33"/>
      <c r="AA143" s="33">
        <f t="shared" ref="AA143:AA154" si="143">ROUND((W143-Y143),5)</f>
        <v>804.2</v>
      </c>
      <c r="AB143" s="33"/>
      <c r="AC143" s="33"/>
      <c r="AD143" s="34"/>
      <c r="AE143" s="34"/>
      <c r="AF143" s="49"/>
      <c r="AG143" s="50"/>
      <c r="AH143" s="51"/>
      <c r="AI143" s="51"/>
      <c r="AJ143" s="51"/>
      <c r="AK143" s="51"/>
      <c r="AL143" s="51"/>
      <c r="AM143" s="51"/>
      <c r="AN143" s="51">
        <f t="shared" si="129"/>
        <v>6625.44</v>
      </c>
      <c r="AO143" s="51"/>
      <c r="AP143" s="51">
        <f t="shared" si="130"/>
        <v>1656.36</v>
      </c>
      <c r="AQ143" s="51"/>
      <c r="AR143" s="51">
        <f t="shared" ref="AR143:AR154" si="144">ROUND(I143+Q143+Y143,5)</f>
        <v>0</v>
      </c>
      <c r="AS143" s="51">
        <f t="shared" si="126"/>
        <v>3312.72</v>
      </c>
      <c r="AT143" s="51"/>
      <c r="AU143" s="65"/>
      <c r="AV143" s="54"/>
      <c r="AW143" s="55"/>
      <c r="AX143" s="56">
        <f t="shared" si="73"/>
        <v>6625.44</v>
      </c>
      <c r="AY143" s="88"/>
      <c r="AZ143" s="89">
        <v>91672.33</v>
      </c>
      <c r="BA143" s="54"/>
      <c r="BB143" s="54"/>
      <c r="BC143" s="60"/>
      <c r="BD143" s="54">
        <f t="shared" si="131"/>
        <v>183344.66</v>
      </c>
      <c r="BE143" s="54"/>
      <c r="BF143" s="54"/>
      <c r="BG143" s="54"/>
      <c r="BH143" s="54"/>
      <c r="BI143" s="54"/>
      <c r="BJ143" s="54"/>
      <c r="BK143" s="54"/>
      <c r="BL143" s="54"/>
      <c r="BM143" s="58">
        <f t="shared" si="127"/>
        <v>0</v>
      </c>
      <c r="BN143" s="58"/>
      <c r="BO143" s="54"/>
      <c r="BP143" s="54"/>
      <c r="BQ143" s="66">
        <f t="shared" si="132"/>
        <v>0</v>
      </c>
      <c r="BR143" s="66"/>
      <c r="BS143" s="66">
        <f t="shared" si="128"/>
        <v>0</v>
      </c>
      <c r="BT143" s="58"/>
      <c r="BU143" s="54">
        <f t="shared" si="133"/>
        <v>0</v>
      </c>
      <c r="BV143" s="58"/>
      <c r="BW143" s="58">
        <f t="shared" si="71"/>
        <v>0</v>
      </c>
      <c r="BX143" s="58"/>
      <c r="BY143" s="91"/>
      <c r="BZ143" s="66">
        <f t="shared" si="134"/>
        <v>0</v>
      </c>
      <c r="CA143" s="66"/>
      <c r="CB143" s="54">
        <f t="shared" si="135"/>
        <v>0</v>
      </c>
      <c r="CC143" s="54"/>
      <c r="CD143" s="54">
        <f t="shared" si="136"/>
        <v>0</v>
      </c>
      <c r="CE143" s="54"/>
      <c r="CF143" s="54">
        <f t="shared" si="137"/>
        <v>0</v>
      </c>
      <c r="CG143" s="132"/>
      <c r="CH143" s="200">
        <f t="shared" si="76"/>
        <v>0</v>
      </c>
      <c r="CI143" s="200"/>
      <c r="CJ143" s="312"/>
      <c r="CK143" s="346">
        <f t="shared" si="138"/>
        <v>0</v>
      </c>
    </row>
    <row r="144" spans="1:89" ht="18.75" hidden="1" customHeight="1" x14ac:dyDescent="0.2">
      <c r="A144" s="4"/>
      <c r="B144" s="27"/>
      <c r="C144" s="28"/>
      <c r="D144" s="28" t="s">
        <v>107</v>
      </c>
      <c r="E144" s="29"/>
      <c r="F144" s="28"/>
      <c r="G144" s="30">
        <v>131.37</v>
      </c>
      <c r="H144" s="31"/>
      <c r="I144" s="30">
        <v>0</v>
      </c>
      <c r="J144" s="31"/>
      <c r="K144" s="30">
        <f t="shared" si="139"/>
        <v>131.37</v>
      </c>
      <c r="L144" s="31"/>
      <c r="M144" s="32">
        <f t="shared" si="140"/>
        <v>1</v>
      </c>
      <c r="N144" s="31"/>
      <c r="O144" s="30">
        <v>0</v>
      </c>
      <c r="P144" s="31"/>
      <c r="Q144" s="30">
        <v>0</v>
      </c>
      <c r="R144" s="31"/>
      <c r="S144" s="30">
        <f t="shared" si="141"/>
        <v>0</v>
      </c>
      <c r="T144" s="31"/>
      <c r="U144" s="32">
        <f t="shared" si="142"/>
        <v>0</v>
      </c>
      <c r="V144" s="31"/>
      <c r="W144" s="33">
        <v>492.5</v>
      </c>
      <c r="X144" s="33"/>
      <c r="Y144" s="33">
        <v>0</v>
      </c>
      <c r="Z144" s="33"/>
      <c r="AA144" s="33">
        <f t="shared" si="143"/>
        <v>492.5</v>
      </c>
      <c r="AB144" s="33"/>
      <c r="AC144" s="33"/>
      <c r="AD144" s="34"/>
      <c r="AE144" s="34"/>
      <c r="AF144" s="49"/>
      <c r="AG144" s="50"/>
      <c r="AH144" s="51"/>
      <c r="AI144" s="51"/>
      <c r="AJ144" s="51"/>
      <c r="AK144" s="51"/>
      <c r="AL144" s="51"/>
      <c r="AM144" s="51"/>
      <c r="AN144" s="51">
        <f t="shared" si="129"/>
        <v>2495.48</v>
      </c>
      <c r="AO144" s="51"/>
      <c r="AP144" s="51">
        <f t="shared" si="130"/>
        <v>623.87</v>
      </c>
      <c r="AQ144" s="51"/>
      <c r="AR144" s="51">
        <f t="shared" si="144"/>
        <v>0</v>
      </c>
      <c r="AS144" s="51">
        <f t="shared" si="126"/>
        <v>1247.74</v>
      </c>
      <c r="AT144" s="51"/>
      <c r="AU144" s="65"/>
      <c r="AV144" s="54"/>
      <c r="AW144" s="55"/>
      <c r="AX144" s="56">
        <f t="shared" si="73"/>
        <v>2495.48</v>
      </c>
      <c r="AY144" s="88"/>
      <c r="AZ144" s="97">
        <v>79.84</v>
      </c>
      <c r="BA144" s="54"/>
      <c r="BB144" s="54"/>
      <c r="BC144" s="60"/>
      <c r="BD144" s="54">
        <f t="shared" si="131"/>
        <v>159.68</v>
      </c>
      <c r="BE144" s="54"/>
      <c r="BF144" s="54"/>
      <c r="BG144" s="54"/>
      <c r="BH144" s="54"/>
      <c r="BI144" s="54"/>
      <c r="BJ144" s="54"/>
      <c r="BK144" s="54"/>
      <c r="BL144" s="54"/>
      <c r="BM144" s="58">
        <f t="shared" si="127"/>
        <v>0</v>
      </c>
      <c r="BN144" s="58"/>
      <c r="BO144" s="54"/>
      <c r="BP144" s="54"/>
      <c r="BQ144" s="66">
        <f t="shared" si="132"/>
        <v>0</v>
      </c>
      <c r="BR144" s="66"/>
      <c r="BS144" s="66">
        <f t="shared" si="128"/>
        <v>0</v>
      </c>
      <c r="BT144" s="58"/>
      <c r="BU144" s="54">
        <f t="shared" si="133"/>
        <v>0</v>
      </c>
      <c r="BV144" s="58"/>
      <c r="BW144" s="58">
        <f t="shared" si="71"/>
        <v>0</v>
      </c>
      <c r="BX144" s="58"/>
      <c r="BY144" s="91"/>
      <c r="BZ144" s="66">
        <f t="shared" si="134"/>
        <v>0</v>
      </c>
      <c r="CA144" s="66"/>
      <c r="CB144" s="54">
        <f t="shared" si="135"/>
        <v>0</v>
      </c>
      <c r="CC144" s="54"/>
      <c r="CD144" s="54">
        <f t="shared" si="136"/>
        <v>0</v>
      </c>
      <c r="CE144" s="54"/>
      <c r="CF144" s="54">
        <f t="shared" si="137"/>
        <v>0</v>
      </c>
      <c r="CG144" s="132"/>
      <c r="CH144" s="200">
        <f t="shared" si="76"/>
        <v>0</v>
      </c>
      <c r="CI144" s="200"/>
      <c r="CJ144" s="312"/>
      <c r="CK144" s="346">
        <f t="shared" si="138"/>
        <v>0</v>
      </c>
    </row>
    <row r="145" spans="1:89" ht="18.75" hidden="1" customHeight="1" x14ac:dyDescent="0.2">
      <c r="A145" s="4"/>
      <c r="B145" s="27"/>
      <c r="C145" s="28"/>
      <c r="D145" s="28" t="s">
        <v>108</v>
      </c>
      <c r="E145" s="29"/>
      <c r="F145" s="28"/>
      <c r="G145" s="30">
        <v>0</v>
      </c>
      <c r="H145" s="31"/>
      <c r="I145" s="30">
        <v>0</v>
      </c>
      <c r="J145" s="31"/>
      <c r="K145" s="30">
        <f t="shared" si="139"/>
        <v>0</v>
      </c>
      <c r="L145" s="31"/>
      <c r="M145" s="32">
        <f t="shared" si="140"/>
        <v>0</v>
      </c>
      <c r="N145" s="31"/>
      <c r="O145" s="30">
        <v>72.23</v>
      </c>
      <c r="P145" s="31"/>
      <c r="Q145" s="30">
        <v>0</v>
      </c>
      <c r="R145" s="31"/>
      <c r="S145" s="30">
        <f t="shared" si="141"/>
        <v>72.23</v>
      </c>
      <c r="T145" s="31"/>
      <c r="U145" s="32">
        <f t="shared" si="142"/>
        <v>1</v>
      </c>
      <c r="V145" s="31"/>
      <c r="W145" s="33">
        <v>105</v>
      </c>
      <c r="X145" s="33"/>
      <c r="Y145" s="33">
        <v>0</v>
      </c>
      <c r="Z145" s="33"/>
      <c r="AA145" s="33">
        <f t="shared" si="143"/>
        <v>105</v>
      </c>
      <c r="AB145" s="33"/>
      <c r="AC145" s="33"/>
      <c r="AD145" s="34"/>
      <c r="AE145" s="34"/>
      <c r="AF145" s="49"/>
      <c r="AG145" s="50"/>
      <c r="AH145" s="51"/>
      <c r="AI145" s="51"/>
      <c r="AJ145" s="51"/>
      <c r="AK145" s="51"/>
      <c r="AL145" s="51"/>
      <c r="AM145" s="51"/>
      <c r="AN145" s="51">
        <f t="shared" si="129"/>
        <v>708.92</v>
      </c>
      <c r="AO145" s="51"/>
      <c r="AP145" s="51">
        <f t="shared" si="130"/>
        <v>177.23</v>
      </c>
      <c r="AQ145" s="51"/>
      <c r="AR145" s="51">
        <f t="shared" si="144"/>
        <v>0</v>
      </c>
      <c r="AS145" s="51">
        <f t="shared" si="126"/>
        <v>354.46</v>
      </c>
      <c r="AT145" s="51"/>
      <c r="AU145" s="65"/>
      <c r="AV145" s="54"/>
      <c r="AW145" s="55"/>
      <c r="AX145" s="56">
        <f t="shared" si="73"/>
        <v>708.92</v>
      </c>
      <c r="AY145" s="88"/>
      <c r="AZ145" s="89">
        <v>91752.17</v>
      </c>
      <c r="BA145" s="54"/>
      <c r="BB145" s="54"/>
      <c r="BC145" s="60"/>
      <c r="BD145" s="54">
        <f t="shared" si="131"/>
        <v>183504.34</v>
      </c>
      <c r="BE145" s="54"/>
      <c r="BF145" s="54"/>
      <c r="BG145" s="54"/>
      <c r="BH145" s="54"/>
      <c r="BI145" s="54"/>
      <c r="BJ145" s="54"/>
      <c r="BK145" s="54"/>
      <c r="BL145" s="54"/>
      <c r="BM145" s="58">
        <f t="shared" si="127"/>
        <v>0</v>
      </c>
      <c r="BN145" s="58"/>
      <c r="BO145" s="54"/>
      <c r="BP145" s="54"/>
      <c r="BQ145" s="66">
        <f t="shared" si="132"/>
        <v>0</v>
      </c>
      <c r="BR145" s="66"/>
      <c r="BS145" s="66">
        <f t="shared" si="128"/>
        <v>0</v>
      </c>
      <c r="BT145" s="58"/>
      <c r="BU145" s="54">
        <f t="shared" si="133"/>
        <v>0</v>
      </c>
      <c r="BV145" s="58"/>
      <c r="BW145" s="58">
        <f t="shared" si="71"/>
        <v>0</v>
      </c>
      <c r="BX145" s="58"/>
      <c r="BY145" s="91"/>
      <c r="BZ145" s="66">
        <f t="shared" si="134"/>
        <v>0</v>
      </c>
      <c r="CA145" s="66"/>
      <c r="CB145" s="54">
        <f t="shared" si="135"/>
        <v>0</v>
      </c>
      <c r="CC145" s="54"/>
      <c r="CD145" s="54">
        <f t="shared" si="136"/>
        <v>0</v>
      </c>
      <c r="CE145" s="54"/>
      <c r="CF145" s="54">
        <f t="shared" si="137"/>
        <v>0</v>
      </c>
      <c r="CG145" s="132"/>
      <c r="CH145" s="200">
        <f t="shared" si="76"/>
        <v>0</v>
      </c>
      <c r="CI145" s="200"/>
      <c r="CJ145" s="312"/>
      <c r="CK145" s="346">
        <f t="shared" si="138"/>
        <v>0</v>
      </c>
    </row>
    <row r="146" spans="1:89" ht="18.75" hidden="1" customHeight="1" x14ac:dyDescent="0.2">
      <c r="A146" s="4"/>
      <c r="B146" s="27"/>
      <c r="C146" s="28"/>
      <c r="D146" s="28" t="s">
        <v>109</v>
      </c>
      <c r="E146" s="29"/>
      <c r="F146" s="28"/>
      <c r="G146" s="30">
        <v>148</v>
      </c>
      <c r="H146" s="31"/>
      <c r="I146" s="30">
        <v>0</v>
      </c>
      <c r="J146" s="31"/>
      <c r="K146" s="30">
        <f t="shared" si="139"/>
        <v>148</v>
      </c>
      <c r="L146" s="31"/>
      <c r="M146" s="32">
        <f t="shared" si="140"/>
        <v>1</v>
      </c>
      <c r="N146" s="31"/>
      <c r="O146" s="30">
        <v>168.88</v>
      </c>
      <c r="P146" s="31"/>
      <c r="Q146" s="30">
        <v>0</v>
      </c>
      <c r="R146" s="31"/>
      <c r="S146" s="30">
        <f t="shared" si="141"/>
        <v>168.88</v>
      </c>
      <c r="T146" s="31"/>
      <c r="U146" s="32">
        <f t="shared" si="142"/>
        <v>1</v>
      </c>
      <c r="V146" s="31"/>
      <c r="W146" s="33">
        <v>3013.42</v>
      </c>
      <c r="X146" s="33"/>
      <c r="Y146" s="33">
        <v>0</v>
      </c>
      <c r="Z146" s="33"/>
      <c r="AA146" s="33">
        <f t="shared" si="143"/>
        <v>3013.42</v>
      </c>
      <c r="AB146" s="33"/>
      <c r="AC146" s="33"/>
      <c r="AD146" s="34"/>
      <c r="AE146" s="34"/>
      <c r="AF146" s="49"/>
      <c r="AG146" s="50"/>
      <c r="AH146" s="51"/>
      <c r="AI146" s="51"/>
      <c r="AJ146" s="51"/>
      <c r="AK146" s="51"/>
      <c r="AL146" s="51"/>
      <c r="AM146" s="51"/>
      <c r="AN146" s="51">
        <f t="shared" si="129"/>
        <v>13321.2</v>
      </c>
      <c r="AO146" s="51"/>
      <c r="AP146" s="51">
        <f t="shared" si="130"/>
        <v>3330.3</v>
      </c>
      <c r="AQ146" s="51"/>
      <c r="AR146" s="51">
        <f t="shared" si="144"/>
        <v>0</v>
      </c>
      <c r="AS146" s="51">
        <f t="shared" si="126"/>
        <v>6660.6</v>
      </c>
      <c r="AT146" s="51"/>
      <c r="AU146" s="65"/>
      <c r="AV146" s="54"/>
      <c r="AW146" s="55"/>
      <c r="AX146" s="56">
        <f t="shared" si="73"/>
        <v>13321.2</v>
      </c>
      <c r="AY146" s="88"/>
      <c r="AZ146" s="89"/>
      <c r="BA146" s="54"/>
      <c r="BB146" s="54"/>
      <c r="BC146" s="60"/>
      <c r="BD146" s="54">
        <f t="shared" si="131"/>
        <v>0</v>
      </c>
      <c r="BE146" s="54"/>
      <c r="BF146" s="54"/>
      <c r="BG146" s="54"/>
      <c r="BH146" s="54"/>
      <c r="BI146" s="54"/>
      <c r="BJ146" s="54"/>
      <c r="BK146" s="54"/>
      <c r="BL146" s="54"/>
      <c r="BM146" s="58">
        <f t="shared" si="127"/>
        <v>0</v>
      </c>
      <c r="BN146" s="58"/>
      <c r="BO146" s="54"/>
      <c r="BP146" s="54"/>
      <c r="BQ146" s="66">
        <f t="shared" si="132"/>
        <v>0</v>
      </c>
      <c r="BR146" s="66"/>
      <c r="BS146" s="66">
        <f t="shared" si="128"/>
        <v>0</v>
      </c>
      <c r="BT146" s="58"/>
      <c r="BU146" s="54">
        <f t="shared" si="133"/>
        <v>0</v>
      </c>
      <c r="BV146" s="58"/>
      <c r="BW146" s="58">
        <f t="shared" si="71"/>
        <v>0</v>
      </c>
      <c r="BX146" s="58"/>
      <c r="BY146" s="91"/>
      <c r="BZ146" s="66">
        <f t="shared" si="134"/>
        <v>0</v>
      </c>
      <c r="CA146" s="66"/>
      <c r="CB146" s="54">
        <f t="shared" si="135"/>
        <v>0</v>
      </c>
      <c r="CC146" s="54"/>
      <c r="CD146" s="54">
        <f t="shared" si="136"/>
        <v>0</v>
      </c>
      <c r="CE146" s="54"/>
      <c r="CF146" s="54">
        <f t="shared" si="137"/>
        <v>0</v>
      </c>
      <c r="CG146" s="132"/>
      <c r="CH146" s="200">
        <f t="shared" si="76"/>
        <v>0</v>
      </c>
      <c r="CI146" s="200"/>
      <c r="CJ146" s="312"/>
      <c r="CK146" s="346">
        <f t="shared" si="138"/>
        <v>0</v>
      </c>
    </row>
    <row r="147" spans="1:89" ht="18.75" hidden="1" customHeight="1" x14ac:dyDescent="0.2">
      <c r="A147" s="4"/>
      <c r="B147" s="27"/>
      <c r="C147" s="28"/>
      <c r="D147" s="28" t="s">
        <v>110</v>
      </c>
      <c r="E147" s="29"/>
      <c r="F147" s="28"/>
      <c r="G147" s="30">
        <v>18.34</v>
      </c>
      <c r="H147" s="31"/>
      <c r="I147" s="30">
        <v>0</v>
      </c>
      <c r="J147" s="31"/>
      <c r="K147" s="30">
        <f t="shared" si="139"/>
        <v>18.34</v>
      </c>
      <c r="L147" s="31"/>
      <c r="M147" s="32">
        <f t="shared" si="140"/>
        <v>1</v>
      </c>
      <c r="N147" s="31"/>
      <c r="O147" s="30">
        <v>58.81</v>
      </c>
      <c r="P147" s="31"/>
      <c r="Q147" s="30">
        <v>0</v>
      </c>
      <c r="R147" s="31"/>
      <c r="S147" s="30">
        <f t="shared" si="141"/>
        <v>58.81</v>
      </c>
      <c r="T147" s="31"/>
      <c r="U147" s="32">
        <f t="shared" si="142"/>
        <v>1</v>
      </c>
      <c r="V147" s="31"/>
      <c r="W147" s="33">
        <v>543.91</v>
      </c>
      <c r="X147" s="33"/>
      <c r="Y147" s="33">
        <v>0</v>
      </c>
      <c r="Z147" s="33"/>
      <c r="AA147" s="33">
        <f t="shared" si="143"/>
        <v>543.91</v>
      </c>
      <c r="AB147" s="33"/>
      <c r="AC147" s="33"/>
      <c r="AD147" s="34"/>
      <c r="AE147" s="34"/>
      <c r="AF147" s="49"/>
      <c r="AG147" s="50"/>
      <c r="AH147" s="51"/>
      <c r="AI147" s="51"/>
      <c r="AJ147" s="51"/>
      <c r="AK147" s="51"/>
      <c r="AL147" s="51"/>
      <c r="AM147" s="51"/>
      <c r="AN147" s="51">
        <f t="shared" si="129"/>
        <v>2484.2399999999998</v>
      </c>
      <c r="AO147" s="51"/>
      <c r="AP147" s="51">
        <f t="shared" si="130"/>
        <v>621.05999999999995</v>
      </c>
      <c r="AQ147" s="51"/>
      <c r="AR147" s="51">
        <f t="shared" si="144"/>
        <v>0</v>
      </c>
      <c r="AS147" s="51">
        <f t="shared" si="126"/>
        <v>1242.1199999999999</v>
      </c>
      <c r="AT147" s="51"/>
      <c r="AU147" s="65"/>
      <c r="AV147" s="54"/>
      <c r="AW147" s="55"/>
      <c r="AX147" s="56">
        <f t="shared" si="73"/>
        <v>2484.2399999999998</v>
      </c>
      <c r="AY147" s="88"/>
      <c r="AZ147" s="89">
        <v>81957.55</v>
      </c>
      <c r="BA147" s="54"/>
      <c r="BB147" s="54"/>
      <c r="BC147" s="60"/>
      <c r="BD147" s="54">
        <f t="shared" si="131"/>
        <v>163915.1</v>
      </c>
      <c r="BE147" s="54"/>
      <c r="BF147" s="54"/>
      <c r="BG147" s="54"/>
      <c r="BH147" s="54"/>
      <c r="BI147" s="54"/>
      <c r="BJ147" s="54"/>
      <c r="BK147" s="54"/>
      <c r="BL147" s="54"/>
      <c r="BM147" s="58">
        <f t="shared" si="127"/>
        <v>0</v>
      </c>
      <c r="BN147" s="58"/>
      <c r="BO147" s="54"/>
      <c r="BP147" s="54"/>
      <c r="BQ147" s="66">
        <f t="shared" si="132"/>
        <v>0</v>
      </c>
      <c r="BR147" s="66"/>
      <c r="BS147" s="66">
        <f t="shared" si="128"/>
        <v>0</v>
      </c>
      <c r="BT147" s="58"/>
      <c r="BU147" s="54">
        <f t="shared" si="133"/>
        <v>0</v>
      </c>
      <c r="BV147" s="58"/>
      <c r="BW147" s="58">
        <f t="shared" si="71"/>
        <v>0</v>
      </c>
      <c r="BX147" s="58"/>
      <c r="BY147" s="91"/>
      <c r="BZ147" s="66">
        <f t="shared" si="134"/>
        <v>0</v>
      </c>
      <c r="CA147" s="66"/>
      <c r="CB147" s="54">
        <f t="shared" si="135"/>
        <v>0</v>
      </c>
      <c r="CC147" s="54"/>
      <c r="CD147" s="54">
        <f t="shared" si="136"/>
        <v>0</v>
      </c>
      <c r="CE147" s="54"/>
      <c r="CF147" s="54">
        <f t="shared" si="137"/>
        <v>0</v>
      </c>
      <c r="CG147" s="132"/>
      <c r="CH147" s="200">
        <f t="shared" si="76"/>
        <v>0</v>
      </c>
      <c r="CI147" s="200"/>
      <c r="CJ147" s="312"/>
      <c r="CK147" s="346">
        <f t="shared" si="138"/>
        <v>0</v>
      </c>
    </row>
    <row r="148" spans="1:89" ht="18.75" hidden="1" customHeight="1" x14ac:dyDescent="0.2">
      <c r="A148" s="4"/>
      <c r="B148" s="27"/>
      <c r="C148" s="28"/>
      <c r="D148" s="28" t="s">
        <v>111</v>
      </c>
      <c r="E148" s="29"/>
      <c r="F148" s="28"/>
      <c r="G148" s="30">
        <v>70</v>
      </c>
      <c r="H148" s="31"/>
      <c r="I148" s="30">
        <v>0</v>
      </c>
      <c r="J148" s="31"/>
      <c r="K148" s="30">
        <f t="shared" si="139"/>
        <v>70</v>
      </c>
      <c r="L148" s="31"/>
      <c r="M148" s="32">
        <f t="shared" si="140"/>
        <v>1</v>
      </c>
      <c r="N148" s="31"/>
      <c r="O148" s="30">
        <v>32.85</v>
      </c>
      <c r="P148" s="31"/>
      <c r="Q148" s="30">
        <v>0</v>
      </c>
      <c r="R148" s="31"/>
      <c r="S148" s="30">
        <f t="shared" si="141"/>
        <v>32.85</v>
      </c>
      <c r="T148" s="31"/>
      <c r="U148" s="32">
        <f t="shared" si="142"/>
        <v>1</v>
      </c>
      <c r="V148" s="31"/>
      <c r="W148" s="33">
        <v>3639.44</v>
      </c>
      <c r="X148" s="33"/>
      <c r="Y148" s="33">
        <v>0</v>
      </c>
      <c r="Z148" s="33"/>
      <c r="AA148" s="33">
        <f t="shared" si="143"/>
        <v>3639.44</v>
      </c>
      <c r="AB148" s="33"/>
      <c r="AC148" s="33"/>
      <c r="AD148" s="34"/>
      <c r="AE148" s="34"/>
      <c r="AF148" s="49"/>
      <c r="AG148" s="50"/>
      <c r="AH148" s="51"/>
      <c r="AI148" s="51"/>
      <c r="AJ148" s="51"/>
      <c r="AK148" s="51"/>
      <c r="AL148" s="51"/>
      <c r="AM148" s="51"/>
      <c r="AN148" s="51">
        <f t="shared" si="129"/>
        <v>14969.16</v>
      </c>
      <c r="AO148" s="51"/>
      <c r="AP148" s="51">
        <f t="shared" si="130"/>
        <v>3742.29</v>
      </c>
      <c r="AQ148" s="51"/>
      <c r="AR148" s="51">
        <f t="shared" si="144"/>
        <v>0</v>
      </c>
      <c r="AS148" s="51">
        <f t="shared" si="126"/>
        <v>7484.58</v>
      </c>
      <c r="AT148" s="51"/>
      <c r="AU148" s="65"/>
      <c r="AV148" s="54"/>
      <c r="AW148" s="55"/>
      <c r="AX148" s="56">
        <f t="shared" si="73"/>
        <v>14969.16</v>
      </c>
      <c r="AY148" s="88"/>
      <c r="AZ148" s="97">
        <v>54363.12</v>
      </c>
      <c r="BA148" s="54"/>
      <c r="BB148" s="54"/>
      <c r="BC148" s="60"/>
      <c r="BD148" s="54">
        <f t="shared" si="131"/>
        <v>108726.24</v>
      </c>
      <c r="BE148" s="54"/>
      <c r="BF148" s="54"/>
      <c r="BG148" s="54"/>
      <c r="BH148" s="54"/>
      <c r="BI148" s="54"/>
      <c r="BJ148" s="54"/>
      <c r="BK148" s="54"/>
      <c r="BL148" s="54"/>
      <c r="BM148" s="58">
        <f t="shared" si="127"/>
        <v>0</v>
      </c>
      <c r="BN148" s="58"/>
      <c r="BO148" s="54"/>
      <c r="BP148" s="54"/>
      <c r="BQ148" s="66">
        <f t="shared" si="132"/>
        <v>0</v>
      </c>
      <c r="BR148" s="66"/>
      <c r="BS148" s="66">
        <f t="shared" si="128"/>
        <v>0</v>
      </c>
      <c r="BT148" s="58"/>
      <c r="BU148" s="54">
        <f t="shared" si="133"/>
        <v>0</v>
      </c>
      <c r="BV148" s="58"/>
      <c r="BW148" s="58">
        <f t="shared" si="71"/>
        <v>0</v>
      </c>
      <c r="BX148" s="58"/>
      <c r="BY148" s="91"/>
      <c r="BZ148" s="66">
        <f t="shared" si="134"/>
        <v>0</v>
      </c>
      <c r="CA148" s="66"/>
      <c r="CB148" s="54">
        <f t="shared" si="135"/>
        <v>0</v>
      </c>
      <c r="CC148" s="54"/>
      <c r="CD148" s="54">
        <f t="shared" si="136"/>
        <v>0</v>
      </c>
      <c r="CE148" s="54"/>
      <c r="CF148" s="54">
        <f t="shared" si="137"/>
        <v>0</v>
      </c>
      <c r="CG148" s="132"/>
      <c r="CH148" s="200">
        <f t="shared" si="76"/>
        <v>0</v>
      </c>
      <c r="CI148" s="200"/>
      <c r="CJ148" s="312"/>
      <c r="CK148" s="346">
        <f t="shared" si="138"/>
        <v>0</v>
      </c>
    </row>
    <row r="149" spans="1:89" ht="18.75" hidden="1" customHeight="1" x14ac:dyDescent="0.2">
      <c r="A149" s="4"/>
      <c r="B149" s="27"/>
      <c r="C149" s="28"/>
      <c r="D149" s="28" t="s">
        <v>112</v>
      </c>
      <c r="E149" s="29"/>
      <c r="F149" s="28"/>
      <c r="G149" s="30">
        <v>445.98</v>
      </c>
      <c r="H149" s="31"/>
      <c r="I149" s="30">
        <v>0</v>
      </c>
      <c r="J149" s="31"/>
      <c r="K149" s="30">
        <f t="shared" si="139"/>
        <v>445.98</v>
      </c>
      <c r="L149" s="31"/>
      <c r="M149" s="32">
        <f t="shared" si="140"/>
        <v>1</v>
      </c>
      <c r="N149" s="31"/>
      <c r="O149" s="30">
        <v>37.92</v>
      </c>
      <c r="P149" s="31"/>
      <c r="Q149" s="30">
        <v>0</v>
      </c>
      <c r="R149" s="31"/>
      <c r="S149" s="30">
        <f t="shared" si="141"/>
        <v>37.92</v>
      </c>
      <c r="T149" s="31"/>
      <c r="U149" s="32">
        <f t="shared" si="142"/>
        <v>1</v>
      </c>
      <c r="V149" s="31"/>
      <c r="W149" s="33">
        <v>1112.07</v>
      </c>
      <c r="X149" s="33"/>
      <c r="Y149" s="33">
        <v>0</v>
      </c>
      <c r="Z149" s="33"/>
      <c r="AA149" s="33">
        <f t="shared" si="143"/>
        <v>1112.07</v>
      </c>
      <c r="AB149" s="33"/>
      <c r="AC149" s="33"/>
      <c r="AD149" s="34"/>
      <c r="AE149" s="34"/>
      <c r="AF149" s="49"/>
      <c r="AG149" s="50"/>
      <c r="AH149" s="51"/>
      <c r="AI149" s="51"/>
      <c r="AJ149" s="51"/>
      <c r="AK149" s="51"/>
      <c r="AL149" s="51"/>
      <c r="AM149" s="51"/>
      <c r="AN149" s="51">
        <f t="shared" si="129"/>
        <v>6383.88</v>
      </c>
      <c r="AO149" s="51"/>
      <c r="AP149" s="51">
        <f t="shared" si="130"/>
        <v>1595.97</v>
      </c>
      <c r="AQ149" s="51"/>
      <c r="AR149" s="51">
        <f t="shared" si="144"/>
        <v>0</v>
      </c>
      <c r="AS149" s="51">
        <f t="shared" si="126"/>
        <v>3191.94</v>
      </c>
      <c r="AT149" s="51"/>
      <c r="AU149" s="65"/>
      <c r="AV149" s="54"/>
      <c r="AW149" s="55"/>
      <c r="AX149" s="56">
        <f t="shared" si="73"/>
        <v>6383.88</v>
      </c>
      <c r="AY149" s="88"/>
      <c r="AZ149" s="89">
        <v>136320.67000000001</v>
      </c>
      <c r="BA149" s="54"/>
      <c r="BB149" s="54"/>
      <c r="BC149" s="60"/>
      <c r="BD149" s="54">
        <f t="shared" si="131"/>
        <v>272641.34000000003</v>
      </c>
      <c r="BE149" s="54"/>
      <c r="BF149" s="54"/>
      <c r="BG149" s="54"/>
      <c r="BH149" s="54"/>
      <c r="BI149" s="54"/>
      <c r="BJ149" s="54"/>
      <c r="BK149" s="54"/>
      <c r="BL149" s="54"/>
      <c r="BM149" s="58">
        <f t="shared" si="127"/>
        <v>0</v>
      </c>
      <c r="BN149" s="58"/>
      <c r="BO149" s="54"/>
      <c r="BP149" s="54"/>
      <c r="BQ149" s="66">
        <f t="shared" si="132"/>
        <v>0</v>
      </c>
      <c r="BR149" s="66"/>
      <c r="BS149" s="66">
        <f t="shared" si="128"/>
        <v>0</v>
      </c>
      <c r="BT149" s="58"/>
      <c r="BU149" s="54">
        <f t="shared" si="133"/>
        <v>0</v>
      </c>
      <c r="BV149" s="58"/>
      <c r="BW149" s="58">
        <f t="shared" ref="BW149:BW184" si="145">BU149-BK149</f>
        <v>0</v>
      </c>
      <c r="BX149" s="58"/>
      <c r="BY149" s="91"/>
      <c r="BZ149" s="66">
        <f t="shared" si="134"/>
        <v>0</v>
      </c>
      <c r="CA149" s="66"/>
      <c r="CB149" s="54">
        <f t="shared" si="135"/>
        <v>0</v>
      </c>
      <c r="CC149" s="54"/>
      <c r="CD149" s="54">
        <f t="shared" si="136"/>
        <v>0</v>
      </c>
      <c r="CE149" s="54"/>
      <c r="CF149" s="54">
        <f t="shared" si="137"/>
        <v>0</v>
      </c>
      <c r="CG149" s="132"/>
      <c r="CH149" s="200">
        <f t="shared" si="76"/>
        <v>0</v>
      </c>
      <c r="CI149" s="200"/>
      <c r="CJ149" s="312"/>
      <c r="CK149" s="346">
        <f t="shared" si="138"/>
        <v>0</v>
      </c>
    </row>
    <row r="150" spans="1:89" ht="18.75" hidden="1" customHeight="1" x14ac:dyDescent="0.2">
      <c r="A150" s="4"/>
      <c r="B150" s="27"/>
      <c r="C150" s="28"/>
      <c r="D150" s="28" t="s">
        <v>113</v>
      </c>
      <c r="E150" s="29"/>
      <c r="F150" s="28"/>
      <c r="G150" s="30">
        <v>0</v>
      </c>
      <c r="H150" s="31"/>
      <c r="I150" s="30">
        <v>0</v>
      </c>
      <c r="J150" s="31"/>
      <c r="K150" s="30">
        <f t="shared" si="139"/>
        <v>0</v>
      </c>
      <c r="L150" s="31"/>
      <c r="M150" s="32">
        <f t="shared" si="140"/>
        <v>0</v>
      </c>
      <c r="N150" s="31"/>
      <c r="O150" s="30">
        <v>71.989999999999995</v>
      </c>
      <c r="P150" s="31"/>
      <c r="Q150" s="30">
        <v>0</v>
      </c>
      <c r="R150" s="31"/>
      <c r="S150" s="30">
        <f t="shared" si="141"/>
        <v>71.989999999999995</v>
      </c>
      <c r="T150" s="31"/>
      <c r="U150" s="32">
        <f t="shared" si="142"/>
        <v>1</v>
      </c>
      <c r="V150" s="31"/>
      <c r="W150" s="33">
        <v>1737.55</v>
      </c>
      <c r="X150" s="33"/>
      <c r="Y150" s="33">
        <v>0</v>
      </c>
      <c r="Z150" s="33"/>
      <c r="AA150" s="33">
        <f t="shared" si="143"/>
        <v>1737.55</v>
      </c>
      <c r="AB150" s="33"/>
      <c r="AC150" s="33"/>
      <c r="AD150" s="34"/>
      <c r="AE150" s="34"/>
      <c r="AF150" s="49"/>
      <c r="AG150" s="50"/>
      <c r="AH150" s="51"/>
      <c r="AI150" s="51"/>
      <c r="AJ150" s="51"/>
      <c r="AK150" s="51"/>
      <c r="AL150" s="51"/>
      <c r="AM150" s="51"/>
      <c r="AN150" s="51">
        <f t="shared" si="129"/>
        <v>7238.16</v>
      </c>
      <c r="AO150" s="51"/>
      <c r="AP150" s="51">
        <f t="shared" si="130"/>
        <v>1809.54</v>
      </c>
      <c r="AQ150" s="51"/>
      <c r="AR150" s="51">
        <f t="shared" si="144"/>
        <v>0</v>
      </c>
      <c r="AS150" s="51">
        <f t="shared" si="126"/>
        <v>3619.08</v>
      </c>
      <c r="AT150" s="51"/>
      <c r="AU150" s="65"/>
      <c r="AV150" s="54"/>
      <c r="AW150" s="55"/>
      <c r="AX150" s="56">
        <f t="shared" si="73"/>
        <v>7238.16</v>
      </c>
      <c r="AY150" s="88"/>
      <c r="AZ150" s="89">
        <v>180.67</v>
      </c>
      <c r="BA150" s="54"/>
      <c r="BB150" s="54"/>
      <c r="BC150" s="60"/>
      <c r="BD150" s="54">
        <f t="shared" si="131"/>
        <v>361.34</v>
      </c>
      <c r="BE150" s="54"/>
      <c r="BF150" s="54"/>
      <c r="BG150" s="54"/>
      <c r="BH150" s="54"/>
      <c r="BI150" s="54"/>
      <c r="BJ150" s="54"/>
      <c r="BK150" s="54"/>
      <c r="BL150" s="54"/>
      <c r="BM150" s="58">
        <f t="shared" si="127"/>
        <v>0</v>
      </c>
      <c r="BN150" s="58"/>
      <c r="BO150" s="54"/>
      <c r="BP150" s="54"/>
      <c r="BQ150" s="66">
        <f t="shared" si="132"/>
        <v>0</v>
      </c>
      <c r="BR150" s="66"/>
      <c r="BS150" s="66">
        <f t="shared" si="128"/>
        <v>0</v>
      </c>
      <c r="BT150" s="58"/>
      <c r="BU150" s="54">
        <f t="shared" si="133"/>
        <v>0</v>
      </c>
      <c r="BV150" s="58"/>
      <c r="BW150" s="58">
        <f t="shared" si="145"/>
        <v>0</v>
      </c>
      <c r="BX150" s="58"/>
      <c r="BY150" s="91"/>
      <c r="BZ150" s="66">
        <f t="shared" si="134"/>
        <v>0</v>
      </c>
      <c r="CA150" s="66"/>
      <c r="CB150" s="54">
        <f t="shared" si="135"/>
        <v>0</v>
      </c>
      <c r="CC150" s="54"/>
      <c r="CD150" s="54">
        <f t="shared" si="136"/>
        <v>0</v>
      </c>
      <c r="CE150" s="54"/>
      <c r="CF150" s="54">
        <f t="shared" si="137"/>
        <v>0</v>
      </c>
      <c r="CG150" s="132"/>
      <c r="CH150" s="200">
        <f t="shared" si="76"/>
        <v>0</v>
      </c>
      <c r="CI150" s="200"/>
      <c r="CJ150" s="312"/>
      <c r="CK150" s="346">
        <f t="shared" si="138"/>
        <v>0</v>
      </c>
    </row>
    <row r="151" spans="1:89" ht="18.75" hidden="1" customHeight="1" x14ac:dyDescent="0.2">
      <c r="A151" s="4"/>
      <c r="B151" s="27"/>
      <c r="C151" s="28"/>
      <c r="D151" s="28" t="s">
        <v>114</v>
      </c>
      <c r="E151" s="29"/>
      <c r="F151" s="28"/>
      <c r="G151" s="30">
        <v>5.27</v>
      </c>
      <c r="H151" s="31"/>
      <c r="I151" s="30">
        <v>0</v>
      </c>
      <c r="J151" s="31"/>
      <c r="K151" s="30">
        <f t="shared" si="139"/>
        <v>5.27</v>
      </c>
      <c r="L151" s="31"/>
      <c r="M151" s="32">
        <f t="shared" si="140"/>
        <v>1</v>
      </c>
      <c r="N151" s="31"/>
      <c r="O151" s="30">
        <v>0</v>
      </c>
      <c r="P151" s="31"/>
      <c r="Q151" s="30">
        <v>0</v>
      </c>
      <c r="R151" s="31"/>
      <c r="S151" s="30">
        <f t="shared" si="141"/>
        <v>0</v>
      </c>
      <c r="T151" s="31"/>
      <c r="U151" s="32">
        <f t="shared" si="142"/>
        <v>0</v>
      </c>
      <c r="V151" s="31"/>
      <c r="W151" s="33">
        <v>272.99</v>
      </c>
      <c r="X151" s="33"/>
      <c r="Y151" s="33">
        <v>0</v>
      </c>
      <c r="Z151" s="33"/>
      <c r="AA151" s="33">
        <f t="shared" si="143"/>
        <v>272.99</v>
      </c>
      <c r="AB151" s="33"/>
      <c r="AC151" s="33"/>
      <c r="AD151" s="34"/>
      <c r="AE151" s="34"/>
      <c r="AF151" s="49"/>
      <c r="AG151" s="50"/>
      <c r="AH151" s="51"/>
      <c r="AI151" s="51"/>
      <c r="AJ151" s="51"/>
      <c r="AK151" s="51"/>
      <c r="AL151" s="51"/>
      <c r="AM151" s="51"/>
      <c r="AN151" s="51">
        <f t="shared" si="129"/>
        <v>1113.04</v>
      </c>
      <c r="AO151" s="51"/>
      <c r="AP151" s="51">
        <f t="shared" si="130"/>
        <v>278.26</v>
      </c>
      <c r="AQ151" s="51"/>
      <c r="AR151" s="51">
        <f t="shared" si="144"/>
        <v>0</v>
      </c>
      <c r="AS151" s="51">
        <f t="shared" si="126"/>
        <v>556.52</v>
      </c>
      <c r="AT151" s="51"/>
      <c r="AU151" s="65"/>
      <c r="AV151" s="54"/>
      <c r="AW151" s="55"/>
      <c r="AX151" s="56">
        <f t="shared" si="73"/>
        <v>1113.04</v>
      </c>
      <c r="AY151" s="88"/>
      <c r="AZ151" s="89">
        <v>0</v>
      </c>
      <c r="BA151" s="54"/>
      <c r="BB151" s="54"/>
      <c r="BC151" s="60"/>
      <c r="BD151" s="54">
        <f t="shared" si="131"/>
        <v>0</v>
      </c>
      <c r="BE151" s="54"/>
      <c r="BF151" s="54"/>
      <c r="BG151" s="54"/>
      <c r="BH151" s="54"/>
      <c r="BI151" s="54"/>
      <c r="BJ151" s="54"/>
      <c r="BK151" s="54"/>
      <c r="BL151" s="54"/>
      <c r="BM151" s="58">
        <f t="shared" si="127"/>
        <v>0</v>
      </c>
      <c r="BN151" s="58"/>
      <c r="BO151" s="54"/>
      <c r="BP151" s="54"/>
      <c r="BQ151" s="66">
        <f t="shared" si="132"/>
        <v>0</v>
      </c>
      <c r="BR151" s="66"/>
      <c r="BS151" s="66">
        <f t="shared" si="128"/>
        <v>0</v>
      </c>
      <c r="BT151" s="58"/>
      <c r="BU151" s="54">
        <f t="shared" si="133"/>
        <v>0</v>
      </c>
      <c r="BV151" s="58"/>
      <c r="BW151" s="58">
        <f t="shared" si="145"/>
        <v>0</v>
      </c>
      <c r="BX151" s="58"/>
      <c r="BY151" s="91"/>
      <c r="BZ151" s="66">
        <f t="shared" si="134"/>
        <v>0</v>
      </c>
      <c r="CA151" s="66"/>
      <c r="CB151" s="54">
        <f t="shared" si="135"/>
        <v>0</v>
      </c>
      <c r="CC151" s="54"/>
      <c r="CD151" s="54">
        <f t="shared" si="136"/>
        <v>0</v>
      </c>
      <c r="CE151" s="54"/>
      <c r="CF151" s="54">
        <f t="shared" si="137"/>
        <v>0</v>
      </c>
      <c r="CG151" s="132"/>
      <c r="CH151" s="200">
        <f t="shared" si="76"/>
        <v>0</v>
      </c>
      <c r="CI151" s="200"/>
      <c r="CJ151" s="312"/>
      <c r="CK151" s="346">
        <f t="shared" si="138"/>
        <v>0</v>
      </c>
    </row>
    <row r="152" spans="1:89" ht="18.75" hidden="1" customHeight="1" x14ac:dyDescent="0.2">
      <c r="A152" s="4"/>
      <c r="B152" s="27"/>
      <c r="C152" s="28"/>
      <c r="D152" s="28" t="s">
        <v>115</v>
      </c>
      <c r="E152" s="29"/>
      <c r="F152" s="28"/>
      <c r="G152" s="30">
        <v>483.44</v>
      </c>
      <c r="H152" s="31"/>
      <c r="I152" s="30">
        <v>0</v>
      </c>
      <c r="J152" s="31"/>
      <c r="K152" s="30">
        <f t="shared" si="139"/>
        <v>483.44</v>
      </c>
      <c r="L152" s="31"/>
      <c r="M152" s="32">
        <f t="shared" si="140"/>
        <v>1</v>
      </c>
      <c r="N152" s="31"/>
      <c r="O152" s="30">
        <v>0</v>
      </c>
      <c r="P152" s="31"/>
      <c r="Q152" s="30">
        <v>0</v>
      </c>
      <c r="R152" s="31"/>
      <c r="S152" s="30">
        <f t="shared" si="141"/>
        <v>0</v>
      </c>
      <c r="T152" s="31"/>
      <c r="U152" s="32">
        <f t="shared" si="142"/>
        <v>0</v>
      </c>
      <c r="V152" s="31"/>
      <c r="W152" s="33">
        <v>140</v>
      </c>
      <c r="X152" s="33"/>
      <c r="Y152" s="33">
        <v>0</v>
      </c>
      <c r="Z152" s="33"/>
      <c r="AA152" s="33">
        <f t="shared" si="143"/>
        <v>140</v>
      </c>
      <c r="AB152" s="33"/>
      <c r="AC152" s="33"/>
      <c r="AD152" s="34"/>
      <c r="AE152" s="34"/>
      <c r="AF152" s="49"/>
      <c r="AG152" s="50"/>
      <c r="AH152" s="51"/>
      <c r="AI152" s="51"/>
      <c r="AJ152" s="51"/>
      <c r="AK152" s="51"/>
      <c r="AL152" s="51"/>
      <c r="AM152" s="51"/>
      <c r="AN152" s="51">
        <f t="shared" si="129"/>
        <v>2493.7600000000002</v>
      </c>
      <c r="AO152" s="51"/>
      <c r="AP152" s="51">
        <f t="shared" si="130"/>
        <v>623.44000000000005</v>
      </c>
      <c r="AQ152" s="51"/>
      <c r="AR152" s="51">
        <f t="shared" si="144"/>
        <v>0</v>
      </c>
      <c r="AS152" s="51">
        <f t="shared" si="126"/>
        <v>1246.8800000000001</v>
      </c>
      <c r="AT152" s="51"/>
      <c r="AU152" s="65"/>
      <c r="AV152" s="54"/>
      <c r="AW152" s="55"/>
      <c r="AX152" s="56">
        <f t="shared" si="73"/>
        <v>2493.7600000000002</v>
      </c>
      <c r="AY152" s="88"/>
      <c r="AZ152" s="89"/>
      <c r="BA152" s="54"/>
      <c r="BB152" s="54"/>
      <c r="BC152" s="60"/>
      <c r="BD152" s="54">
        <f t="shared" si="131"/>
        <v>0</v>
      </c>
      <c r="BE152" s="54"/>
      <c r="BF152" s="54"/>
      <c r="BG152" s="54"/>
      <c r="BH152" s="54"/>
      <c r="BI152" s="54"/>
      <c r="BJ152" s="54"/>
      <c r="BK152" s="54"/>
      <c r="BL152" s="54"/>
      <c r="BM152" s="58">
        <f t="shared" si="127"/>
        <v>0</v>
      </c>
      <c r="BN152" s="58"/>
      <c r="BO152" s="54"/>
      <c r="BP152" s="54"/>
      <c r="BQ152" s="66">
        <f t="shared" si="132"/>
        <v>0</v>
      </c>
      <c r="BR152" s="66"/>
      <c r="BS152" s="66">
        <f t="shared" si="128"/>
        <v>0</v>
      </c>
      <c r="BT152" s="58"/>
      <c r="BU152" s="54">
        <f t="shared" si="133"/>
        <v>0</v>
      </c>
      <c r="BV152" s="58"/>
      <c r="BW152" s="58">
        <f t="shared" si="145"/>
        <v>0</v>
      </c>
      <c r="BX152" s="58"/>
      <c r="BY152" s="91"/>
      <c r="BZ152" s="66">
        <f t="shared" si="134"/>
        <v>0</v>
      </c>
      <c r="CA152" s="66"/>
      <c r="CB152" s="54">
        <f t="shared" si="135"/>
        <v>0</v>
      </c>
      <c r="CC152" s="54"/>
      <c r="CD152" s="54">
        <f t="shared" si="136"/>
        <v>0</v>
      </c>
      <c r="CE152" s="54"/>
      <c r="CF152" s="54">
        <f t="shared" si="137"/>
        <v>0</v>
      </c>
      <c r="CG152" s="132"/>
      <c r="CH152" s="200">
        <f t="shared" si="76"/>
        <v>0</v>
      </c>
      <c r="CI152" s="200"/>
      <c r="CJ152" s="312"/>
      <c r="CK152" s="346">
        <f t="shared" si="138"/>
        <v>0</v>
      </c>
    </row>
    <row r="153" spans="1:89" ht="18.75" hidden="1" customHeight="1" thickBot="1" x14ac:dyDescent="0.25">
      <c r="A153" s="4"/>
      <c r="B153" s="27"/>
      <c r="C153" s="28"/>
      <c r="D153" s="28" t="s">
        <v>116</v>
      </c>
      <c r="E153" s="29"/>
      <c r="F153" s="28"/>
      <c r="G153" s="68">
        <v>544.5</v>
      </c>
      <c r="H153" s="31"/>
      <c r="I153" s="68">
        <v>8333.3700000000008</v>
      </c>
      <c r="J153" s="31"/>
      <c r="K153" s="68">
        <f t="shared" si="139"/>
        <v>-7788.87</v>
      </c>
      <c r="L153" s="31"/>
      <c r="M153" s="69">
        <f t="shared" si="140"/>
        <v>6.5339999999999995E-2</v>
      </c>
      <c r="N153" s="31"/>
      <c r="O153" s="68">
        <v>1231.6099999999999</v>
      </c>
      <c r="P153" s="31"/>
      <c r="Q153" s="68">
        <v>8333.33</v>
      </c>
      <c r="R153" s="31"/>
      <c r="S153" s="68">
        <f t="shared" si="141"/>
        <v>-7101.72</v>
      </c>
      <c r="T153" s="31"/>
      <c r="U153" s="69">
        <f t="shared" si="142"/>
        <v>0.14779</v>
      </c>
      <c r="V153" s="31"/>
      <c r="W153" s="70">
        <v>1246.82</v>
      </c>
      <c r="X153" s="33"/>
      <c r="Y153" s="70">
        <v>8333.33</v>
      </c>
      <c r="Z153" s="33"/>
      <c r="AA153" s="70">
        <f t="shared" si="143"/>
        <v>-7086.51</v>
      </c>
      <c r="AB153" s="33"/>
      <c r="AC153" s="33"/>
      <c r="AD153" s="34"/>
      <c r="AE153" s="34"/>
      <c r="AF153" s="49"/>
      <c r="AG153" s="50"/>
      <c r="AH153" s="51"/>
      <c r="AI153" s="51"/>
      <c r="AJ153" s="51"/>
      <c r="AK153" s="51"/>
      <c r="AL153" s="51"/>
      <c r="AM153" s="51"/>
      <c r="AN153" s="51">
        <f t="shared" si="129"/>
        <v>12091.72</v>
      </c>
      <c r="AO153" s="51"/>
      <c r="AP153" s="51">
        <f t="shared" si="130"/>
        <v>3022.93</v>
      </c>
      <c r="AQ153" s="51"/>
      <c r="AR153" s="51">
        <f t="shared" si="144"/>
        <v>25000.03</v>
      </c>
      <c r="AS153" s="51">
        <f t="shared" si="126"/>
        <v>6045.86</v>
      </c>
      <c r="AT153" s="51"/>
      <c r="AU153" s="65"/>
      <c r="AV153" s="54"/>
      <c r="AW153" s="55"/>
      <c r="AX153" s="56">
        <f t="shared" si="73"/>
        <v>12091.72</v>
      </c>
      <c r="AY153" s="88"/>
      <c r="AZ153" s="89">
        <v>7259.05</v>
      </c>
      <c r="BA153" s="54"/>
      <c r="BB153" s="54"/>
      <c r="BC153" s="60"/>
      <c r="BD153" s="54">
        <f t="shared" si="131"/>
        <v>14518.1</v>
      </c>
      <c r="BE153" s="54"/>
      <c r="BF153" s="54"/>
      <c r="BG153" s="54"/>
      <c r="BH153" s="54"/>
      <c r="BI153" s="54"/>
      <c r="BJ153" s="54"/>
      <c r="BK153" s="54"/>
      <c r="BL153" s="54"/>
      <c r="BM153" s="58">
        <f t="shared" si="127"/>
        <v>0</v>
      </c>
      <c r="BN153" s="58"/>
      <c r="BO153" s="54"/>
      <c r="BP153" s="54"/>
      <c r="BQ153" s="66">
        <f t="shared" si="132"/>
        <v>0</v>
      </c>
      <c r="BR153" s="66"/>
      <c r="BS153" s="66">
        <f t="shared" si="128"/>
        <v>0</v>
      </c>
      <c r="BT153" s="58"/>
      <c r="BU153" s="54">
        <f t="shared" si="133"/>
        <v>0</v>
      </c>
      <c r="BV153" s="58"/>
      <c r="BW153" s="58">
        <f t="shared" si="145"/>
        <v>0</v>
      </c>
      <c r="BX153" s="58"/>
      <c r="BY153" s="91"/>
      <c r="BZ153" s="221">
        <f t="shared" si="134"/>
        <v>0</v>
      </c>
      <c r="CA153" s="221"/>
      <c r="CB153" s="222">
        <f t="shared" si="135"/>
        <v>0</v>
      </c>
      <c r="CC153" s="222"/>
      <c r="CD153" s="222">
        <f t="shared" si="136"/>
        <v>0</v>
      </c>
      <c r="CE153" s="222"/>
      <c r="CF153" s="222">
        <f t="shared" si="137"/>
        <v>0</v>
      </c>
      <c r="CG153" s="223"/>
      <c r="CH153" s="224">
        <f t="shared" si="76"/>
        <v>0</v>
      </c>
      <c r="CI153" s="224"/>
      <c r="CJ153" s="312"/>
      <c r="CK153" s="346">
        <f t="shared" si="138"/>
        <v>0</v>
      </c>
    </row>
    <row r="154" spans="1:89" ht="15" customHeight="1" x14ac:dyDescent="0.2">
      <c r="A154" s="4"/>
      <c r="B154" s="27"/>
      <c r="C154" s="28" t="s">
        <v>99</v>
      </c>
      <c r="D154" s="28"/>
      <c r="E154" s="29"/>
      <c r="F154" s="28"/>
      <c r="G154" s="30">
        <f>ROUND(SUM(G137:G153),5)</f>
        <v>4378.88</v>
      </c>
      <c r="H154" s="31"/>
      <c r="I154" s="30">
        <f>ROUND(SUM(I137:I153),5)</f>
        <v>8333.3700000000008</v>
      </c>
      <c r="J154" s="31"/>
      <c r="K154" s="30">
        <f t="shared" si="139"/>
        <v>-3954.49</v>
      </c>
      <c r="L154" s="31"/>
      <c r="M154" s="32">
        <f t="shared" si="140"/>
        <v>0.52546000000000004</v>
      </c>
      <c r="N154" s="31"/>
      <c r="O154" s="30">
        <f>ROUND(SUM(O137:O153),5)</f>
        <v>4079.82</v>
      </c>
      <c r="P154" s="31"/>
      <c r="Q154" s="30">
        <f>ROUND(SUM(Q137:Q153),5)</f>
        <v>8333.33</v>
      </c>
      <c r="R154" s="31"/>
      <c r="S154" s="30">
        <f t="shared" si="141"/>
        <v>-4253.51</v>
      </c>
      <c r="T154" s="31"/>
      <c r="U154" s="32">
        <f t="shared" si="142"/>
        <v>0.48958000000000002</v>
      </c>
      <c r="V154" s="31"/>
      <c r="W154" s="33">
        <f>ROUND(SUM(W137:W153),5)</f>
        <v>19824.96</v>
      </c>
      <c r="X154" s="33"/>
      <c r="Y154" s="33">
        <f>ROUND(SUM(Y137:Y153),5)</f>
        <v>8333.33</v>
      </c>
      <c r="Z154" s="33"/>
      <c r="AA154" s="33">
        <f t="shared" si="143"/>
        <v>11491.63</v>
      </c>
      <c r="AB154" s="33"/>
      <c r="AC154" s="33"/>
      <c r="AD154" s="34">
        <v>95000</v>
      </c>
      <c r="AE154" s="34"/>
      <c r="AF154" s="49">
        <v>102392.99</v>
      </c>
      <c r="AG154" s="50"/>
      <c r="AH154" s="51">
        <v>100000</v>
      </c>
      <c r="AI154" s="51"/>
      <c r="AJ154" s="51">
        <v>115818.40000000001</v>
      </c>
      <c r="AK154" s="51"/>
      <c r="AL154" s="51">
        <v>100000</v>
      </c>
      <c r="AM154" s="51"/>
      <c r="AN154" s="51">
        <v>83348.7</v>
      </c>
      <c r="AO154" s="51"/>
      <c r="AP154" s="51">
        <v>51640.88</v>
      </c>
      <c r="AQ154" s="51"/>
      <c r="AR154" s="51">
        <f t="shared" si="144"/>
        <v>25000.03</v>
      </c>
      <c r="AS154" s="51">
        <f t="shared" si="126"/>
        <v>103281.76</v>
      </c>
      <c r="AT154" s="51"/>
      <c r="AU154" s="65"/>
      <c r="AV154" s="54">
        <v>72000</v>
      </c>
      <c r="AW154" s="55"/>
      <c r="AX154" s="56">
        <f t="shared" si="73"/>
        <v>-16651.300000000003</v>
      </c>
      <c r="AY154" s="88"/>
      <c r="AZ154" s="89">
        <v>60983.54</v>
      </c>
      <c r="BA154" s="54"/>
      <c r="BB154" s="54"/>
      <c r="BC154" s="60"/>
      <c r="BD154" s="54">
        <v>126021.25</v>
      </c>
      <c r="BE154" s="54"/>
      <c r="BF154" s="54"/>
      <c r="BG154" s="54">
        <v>72000</v>
      </c>
      <c r="BH154" s="54"/>
      <c r="BI154" s="54">
        <v>109460.99</v>
      </c>
      <c r="BJ154" s="54"/>
      <c r="BK154" s="54">
        <v>120000</v>
      </c>
      <c r="BL154" s="54"/>
      <c r="BM154" s="58">
        <f t="shared" si="127"/>
        <v>48000</v>
      </c>
      <c r="BN154" s="58"/>
      <c r="BO154" s="54">
        <v>72105.81</v>
      </c>
      <c r="BP154" s="54"/>
      <c r="BQ154" s="66">
        <v>116929.17</v>
      </c>
      <c r="BR154" s="66"/>
      <c r="BS154" s="66">
        <f t="shared" si="128"/>
        <v>-3070.8300000000017</v>
      </c>
      <c r="BT154" s="58"/>
      <c r="BU154" s="54">
        <v>120000</v>
      </c>
      <c r="BV154" s="58"/>
      <c r="BW154" s="58">
        <f t="shared" si="145"/>
        <v>0</v>
      </c>
      <c r="BX154" s="58"/>
      <c r="BY154" s="225" t="s">
        <v>291</v>
      </c>
      <c r="BZ154" s="66">
        <v>101385.39</v>
      </c>
      <c r="CA154" s="66"/>
      <c r="CB154" s="226">
        <v>120000</v>
      </c>
      <c r="CC154" s="226"/>
      <c r="CD154" s="226">
        <v>95783.3</v>
      </c>
      <c r="CE154" s="226"/>
      <c r="CF154" s="226">
        <v>102000</v>
      </c>
      <c r="CG154" s="227"/>
      <c r="CH154" s="61">
        <f>CF154-CB154</f>
        <v>-18000</v>
      </c>
      <c r="CI154" s="224"/>
      <c r="CJ154" s="315" t="s">
        <v>292</v>
      </c>
      <c r="CK154" s="346">
        <f t="shared" si="138"/>
        <v>8500</v>
      </c>
    </row>
    <row r="155" spans="1:89" ht="15" customHeight="1" x14ac:dyDescent="0.2">
      <c r="A155" s="4"/>
      <c r="B155" s="27"/>
      <c r="C155" s="28" t="s">
        <v>117</v>
      </c>
      <c r="D155" s="28"/>
      <c r="E155" s="29"/>
      <c r="F155" s="28"/>
      <c r="G155" s="30"/>
      <c r="H155" s="31"/>
      <c r="I155" s="30"/>
      <c r="J155" s="31"/>
      <c r="K155" s="30"/>
      <c r="L155" s="31"/>
      <c r="M155" s="32"/>
      <c r="N155" s="31"/>
      <c r="O155" s="30"/>
      <c r="P155" s="31"/>
      <c r="Q155" s="30"/>
      <c r="R155" s="31"/>
      <c r="S155" s="30"/>
      <c r="T155" s="31"/>
      <c r="U155" s="32"/>
      <c r="V155" s="31"/>
      <c r="W155" s="33"/>
      <c r="X155" s="33"/>
      <c r="Y155" s="33"/>
      <c r="Z155" s="33"/>
      <c r="AA155" s="33"/>
      <c r="AB155" s="33"/>
      <c r="AC155" s="33"/>
      <c r="AD155" s="34"/>
      <c r="AE155" s="34"/>
      <c r="AF155" s="49"/>
      <c r="AG155" s="50"/>
      <c r="AH155" s="51"/>
      <c r="AI155" s="51"/>
      <c r="AJ155" s="51"/>
      <c r="AK155" s="51"/>
      <c r="AL155" s="51"/>
      <c r="AM155" s="51"/>
      <c r="AN155" s="51"/>
      <c r="AO155" s="51"/>
      <c r="AP155" s="51"/>
      <c r="AQ155" s="51"/>
      <c r="AR155" s="51"/>
      <c r="AS155" s="51"/>
      <c r="AT155" s="51"/>
      <c r="AU155" s="65"/>
      <c r="AV155" s="54"/>
      <c r="AW155" s="55"/>
      <c r="AX155" s="61">
        <f t="shared" si="73"/>
        <v>0</v>
      </c>
      <c r="AY155" s="88"/>
      <c r="AZ155" s="89"/>
      <c r="BA155" s="228"/>
      <c r="BB155" s="54"/>
      <c r="BC155" s="60"/>
      <c r="BD155" s="54"/>
      <c r="BE155" s="54"/>
      <c r="BF155" s="54"/>
      <c r="BG155" s="54"/>
      <c r="BH155" s="54"/>
      <c r="BI155" s="54"/>
      <c r="BJ155" s="54"/>
      <c r="BK155" s="54"/>
      <c r="BL155" s="54"/>
      <c r="BM155" s="58"/>
      <c r="BN155" s="58"/>
      <c r="BO155" s="54"/>
      <c r="BP155" s="54"/>
      <c r="BQ155" s="66"/>
      <c r="BR155" s="66"/>
      <c r="BS155" s="66"/>
      <c r="BT155" s="58"/>
      <c r="BU155" s="54"/>
      <c r="BV155" s="58"/>
      <c r="BW155" s="58">
        <f t="shared" si="145"/>
        <v>0</v>
      </c>
      <c r="BX155" s="58"/>
      <c r="BY155" s="229"/>
      <c r="BZ155" s="66"/>
      <c r="CA155" s="66"/>
      <c r="CB155" s="54"/>
      <c r="CC155" s="54"/>
      <c r="CD155" s="54"/>
      <c r="CE155" s="54"/>
      <c r="CF155" s="54"/>
      <c r="CG155" s="132"/>
      <c r="CH155" s="200"/>
      <c r="CI155" s="200"/>
      <c r="CJ155" s="312"/>
      <c r="CK155" s="346">
        <f t="shared" si="138"/>
        <v>0</v>
      </c>
    </row>
    <row r="156" spans="1:89" ht="18" customHeight="1" x14ac:dyDescent="0.2">
      <c r="A156" s="4"/>
      <c r="B156" s="27"/>
      <c r="C156" s="28"/>
      <c r="D156" s="28" t="s">
        <v>118</v>
      </c>
      <c r="E156" s="29"/>
      <c r="F156" s="28"/>
      <c r="G156" s="30">
        <v>781.88</v>
      </c>
      <c r="H156" s="31"/>
      <c r="I156" s="30">
        <v>6666.63</v>
      </c>
      <c r="J156" s="31"/>
      <c r="K156" s="30">
        <f>ROUND((G156-I156),5)</f>
        <v>-5884.75</v>
      </c>
      <c r="L156" s="31"/>
      <c r="M156" s="32">
        <f>ROUND(IF(I156=0, IF(G156=0, 0, 1), G156/I156),5)</f>
        <v>0.11728</v>
      </c>
      <c r="N156" s="31"/>
      <c r="O156" s="30">
        <v>0</v>
      </c>
      <c r="P156" s="31"/>
      <c r="Q156" s="30">
        <v>6666.67</v>
      </c>
      <c r="R156" s="31"/>
      <c r="S156" s="30">
        <f>ROUND((O156-Q156),5)</f>
        <v>-6666.67</v>
      </c>
      <c r="T156" s="31"/>
      <c r="U156" s="32">
        <f>ROUND(IF(Q156=0, IF(O156=0, 0, 1), O156/Q156),5)</f>
        <v>0</v>
      </c>
      <c r="V156" s="31"/>
      <c r="W156" s="33">
        <v>5030.24</v>
      </c>
      <c r="X156" s="33"/>
      <c r="Y156" s="33">
        <v>6666.67</v>
      </c>
      <c r="Z156" s="33"/>
      <c r="AA156" s="33">
        <f>ROUND((W156-Y156),5)</f>
        <v>-1636.43</v>
      </c>
      <c r="AB156" s="33"/>
      <c r="AC156" s="33"/>
      <c r="AD156" s="34">
        <v>83000</v>
      </c>
      <c r="AE156" s="34"/>
      <c r="AF156" s="49">
        <v>83000</v>
      </c>
      <c r="AG156" s="50"/>
      <c r="AH156" s="51">
        <v>83000</v>
      </c>
      <c r="AI156" s="51"/>
      <c r="AJ156" s="51">
        <v>39318.410000000003</v>
      </c>
      <c r="AK156" s="51"/>
      <c r="AL156" s="51">
        <v>80000</v>
      </c>
      <c r="AM156" s="51"/>
      <c r="AN156" s="51">
        <v>35363.93</v>
      </c>
      <c r="AO156" s="51"/>
      <c r="AP156" s="51">
        <v>25509.3</v>
      </c>
      <c r="AQ156" s="51"/>
      <c r="AR156" s="51">
        <f>ROUND(I156+Q156+Y156,5)</f>
        <v>19999.97</v>
      </c>
      <c r="AS156" s="51">
        <f t="shared" ref="AS156:AS158" si="146">AP156*2</f>
        <v>51018.6</v>
      </c>
      <c r="AT156" s="51"/>
      <c r="AU156" s="65"/>
      <c r="AV156" s="54">
        <v>30000</v>
      </c>
      <c r="AW156" s="55"/>
      <c r="AX156" s="56">
        <f t="shared" si="73"/>
        <v>-44636.07</v>
      </c>
      <c r="AY156" s="88"/>
      <c r="AZ156" s="89">
        <v>4932.24</v>
      </c>
      <c r="BA156" s="54"/>
      <c r="BB156" s="54"/>
      <c r="BC156" s="60"/>
      <c r="BD156" s="54">
        <v>31043.88</v>
      </c>
      <c r="BE156" s="54"/>
      <c r="BF156" s="54"/>
      <c r="BG156" s="54">
        <v>40000</v>
      </c>
      <c r="BH156" s="54"/>
      <c r="BI156" s="54">
        <v>40267.620000000003</v>
      </c>
      <c r="BJ156" s="54"/>
      <c r="BK156" s="54">
        <v>15000</v>
      </c>
      <c r="BL156" s="54"/>
      <c r="BM156" s="58">
        <f>BK156-BG156</f>
        <v>-25000</v>
      </c>
      <c r="BN156" s="58"/>
      <c r="BO156" s="54">
        <v>11874.95</v>
      </c>
      <c r="BP156" s="54"/>
      <c r="BQ156" s="66">
        <v>18825.580000000002</v>
      </c>
      <c r="BR156" s="66"/>
      <c r="BS156" s="66">
        <f t="shared" si="128"/>
        <v>3825.5800000000017</v>
      </c>
      <c r="BT156" s="58"/>
      <c r="BU156" s="54">
        <v>15000</v>
      </c>
      <c r="BV156" s="58"/>
      <c r="BW156" s="58">
        <f t="shared" si="145"/>
        <v>0</v>
      </c>
      <c r="BX156" s="58"/>
      <c r="BY156" s="229" t="s">
        <v>293</v>
      </c>
      <c r="BZ156" s="66">
        <v>15720.72</v>
      </c>
      <c r="CA156" s="66"/>
      <c r="CB156" s="226">
        <v>15000</v>
      </c>
      <c r="CC156" s="226"/>
      <c r="CD156" s="226">
        <v>32080.080000000002</v>
      </c>
      <c r="CE156" s="226"/>
      <c r="CF156" s="226">
        <v>12750</v>
      </c>
      <c r="CG156" s="227"/>
      <c r="CH156" s="61">
        <f>CF156-CB156</f>
        <v>-2250</v>
      </c>
      <c r="CI156" s="200"/>
      <c r="CJ156" s="316" t="s">
        <v>318</v>
      </c>
      <c r="CK156" s="346">
        <f t="shared" si="138"/>
        <v>1062.5</v>
      </c>
    </row>
    <row r="157" spans="1:89" ht="18" customHeight="1" thickBot="1" x14ac:dyDescent="0.25">
      <c r="A157" s="4"/>
      <c r="B157" s="27"/>
      <c r="C157" s="28"/>
      <c r="D157" s="28" t="s">
        <v>119</v>
      </c>
      <c r="E157" s="29"/>
      <c r="F157" s="28"/>
      <c r="G157" s="68">
        <v>627.37</v>
      </c>
      <c r="H157" s="31"/>
      <c r="I157" s="68">
        <v>4166.63</v>
      </c>
      <c r="J157" s="31"/>
      <c r="K157" s="68">
        <f>ROUND((G157-I157),5)</f>
        <v>-3539.26</v>
      </c>
      <c r="L157" s="31"/>
      <c r="M157" s="69">
        <f>ROUND(IF(I157=0, IF(G157=0, 0, 1), G157/I157),5)</f>
        <v>0.15057000000000001</v>
      </c>
      <c r="N157" s="31"/>
      <c r="O157" s="68">
        <v>688.47</v>
      </c>
      <c r="P157" s="31"/>
      <c r="Q157" s="68">
        <v>4166.67</v>
      </c>
      <c r="R157" s="31"/>
      <c r="S157" s="68">
        <f>ROUND((O157-Q157),5)</f>
        <v>-3478.2</v>
      </c>
      <c r="T157" s="31"/>
      <c r="U157" s="69">
        <f>ROUND(IF(Q157=0, IF(O157=0, 0, 1), O157/Q157),5)</f>
        <v>0.16522999999999999</v>
      </c>
      <c r="V157" s="31"/>
      <c r="W157" s="33">
        <v>16998.61</v>
      </c>
      <c r="X157" s="33"/>
      <c r="Y157" s="33">
        <v>4166.67</v>
      </c>
      <c r="Z157" s="33"/>
      <c r="AA157" s="33">
        <f>ROUND((W157-Y157),5)</f>
        <v>12831.94</v>
      </c>
      <c r="AB157" s="33"/>
      <c r="AC157" s="33"/>
      <c r="AD157" s="34">
        <v>25000</v>
      </c>
      <c r="AE157" s="34"/>
      <c r="AF157" s="71">
        <v>24970.400000000001</v>
      </c>
      <c r="AG157" s="72"/>
      <c r="AH157" s="73">
        <v>25000</v>
      </c>
      <c r="AI157" s="73"/>
      <c r="AJ157" s="73">
        <v>45164.9</v>
      </c>
      <c r="AK157" s="73"/>
      <c r="AL157" s="73">
        <v>50000</v>
      </c>
      <c r="AM157" s="73"/>
      <c r="AN157" s="73">
        <v>42378.559999999998</v>
      </c>
      <c r="AO157" s="73"/>
      <c r="AP157" s="73">
        <v>30203.119999999999</v>
      </c>
      <c r="AQ157" s="73"/>
      <c r="AR157" s="73">
        <f>ROUND(I157+Q157+Y157,5)</f>
        <v>12499.97</v>
      </c>
      <c r="AS157" s="73">
        <f t="shared" si="146"/>
        <v>60406.239999999998</v>
      </c>
      <c r="AT157" s="73"/>
      <c r="AU157" s="116"/>
      <c r="AV157" s="93">
        <v>50000</v>
      </c>
      <c r="AW157" s="94"/>
      <c r="AX157" s="95">
        <f t="shared" si="73"/>
        <v>-7621.4400000000023</v>
      </c>
      <c r="AY157" s="106"/>
      <c r="AZ157" s="173">
        <v>14104.44</v>
      </c>
      <c r="BA157" s="93"/>
      <c r="BB157" s="93"/>
      <c r="BC157" s="99"/>
      <c r="BD157" s="93">
        <f>3098.49+26193.42</f>
        <v>29291.909999999996</v>
      </c>
      <c r="BE157" s="93"/>
      <c r="BF157" s="93"/>
      <c r="BG157" s="93">
        <v>40000</v>
      </c>
      <c r="BH157" s="93"/>
      <c r="BI157" s="93">
        <f>25894.26+119.7</f>
        <v>26013.96</v>
      </c>
      <c r="BJ157" s="93"/>
      <c r="BK157" s="93">
        <v>33000</v>
      </c>
      <c r="BL157" s="93"/>
      <c r="BM157" s="101">
        <f>BK157-BG157</f>
        <v>-7000</v>
      </c>
      <c r="BN157" s="101"/>
      <c r="BO157" s="93">
        <v>15296.56</v>
      </c>
      <c r="BP157" s="93"/>
      <c r="BQ157" s="102">
        <v>44403.34</v>
      </c>
      <c r="BR157" s="102"/>
      <c r="BS157" s="102">
        <f t="shared" si="128"/>
        <v>11403.339999999997</v>
      </c>
      <c r="BT157" s="101"/>
      <c r="BU157" s="93">
        <v>35000</v>
      </c>
      <c r="BV157" s="101"/>
      <c r="BW157" s="101">
        <f t="shared" si="145"/>
        <v>2000</v>
      </c>
      <c r="BX157" s="58"/>
      <c r="BY157" s="229" t="s">
        <v>294</v>
      </c>
      <c r="BZ157" s="102">
        <v>37094.769999999997</v>
      </c>
      <c r="CA157" s="102"/>
      <c r="CB157" s="219">
        <f>35000/2</f>
        <v>17500</v>
      </c>
      <c r="CC157" s="219"/>
      <c r="CD157" s="219">
        <v>0</v>
      </c>
      <c r="CE157" s="219"/>
      <c r="CF157" s="219">
        <v>14000</v>
      </c>
      <c r="CG157" s="220"/>
      <c r="CH157" s="103">
        <f>CF157-CB157</f>
        <v>-3500</v>
      </c>
      <c r="CI157" s="129"/>
      <c r="CJ157" s="314" t="s">
        <v>295</v>
      </c>
      <c r="CK157" s="346">
        <f t="shared" si="138"/>
        <v>1166.6666666666667</v>
      </c>
    </row>
    <row r="158" spans="1:89" ht="18" customHeight="1" thickBot="1" x14ac:dyDescent="0.25">
      <c r="A158" s="4"/>
      <c r="B158" s="27"/>
      <c r="C158" s="28" t="s">
        <v>120</v>
      </c>
      <c r="D158" s="28"/>
      <c r="E158" s="29"/>
      <c r="F158" s="28"/>
      <c r="G158" s="30">
        <f>ROUND(SUM(G155:G157),5)</f>
        <v>1409.25</v>
      </c>
      <c r="H158" s="31"/>
      <c r="I158" s="30">
        <f>ROUND(SUM(I155:I157),5)</f>
        <v>10833.26</v>
      </c>
      <c r="J158" s="31"/>
      <c r="K158" s="30">
        <f>ROUND((G158-I158),5)</f>
        <v>-9424.01</v>
      </c>
      <c r="L158" s="31"/>
      <c r="M158" s="32">
        <f>ROUND(IF(I158=0, IF(G158=0, 0, 1), G158/I158),5)</f>
        <v>0.13009000000000001</v>
      </c>
      <c r="N158" s="31"/>
      <c r="O158" s="30">
        <f>ROUND(SUM(O155:O157),5)</f>
        <v>688.47</v>
      </c>
      <c r="P158" s="31"/>
      <c r="Q158" s="30">
        <f>ROUND(SUM(Q155:Q157),5)</f>
        <v>10833.34</v>
      </c>
      <c r="R158" s="31"/>
      <c r="S158" s="30">
        <f>ROUND((O158-Q158),5)</f>
        <v>-10144.870000000001</v>
      </c>
      <c r="T158" s="31"/>
      <c r="U158" s="32">
        <f>ROUND(IF(Q158=0, IF(O158=0, 0, 1), O158/Q158),5)</f>
        <v>6.3549999999999995E-2</v>
      </c>
      <c r="V158" s="31"/>
      <c r="W158" s="76">
        <f>SUM(W156:W157)</f>
        <v>22028.85</v>
      </c>
      <c r="X158" s="76"/>
      <c r="Y158" s="76">
        <f>SUM(Y156:Y157)</f>
        <v>10833.34</v>
      </c>
      <c r="Z158" s="76"/>
      <c r="AA158" s="76">
        <f>ROUND((W158-Y158),5)</f>
        <v>11195.51</v>
      </c>
      <c r="AB158" s="76"/>
      <c r="AC158" s="76"/>
      <c r="AD158" s="194">
        <f>AD156+AD157</f>
        <v>108000</v>
      </c>
      <c r="AE158" s="194"/>
      <c r="AF158" s="195">
        <f>AF156+AF157</f>
        <v>107970.4</v>
      </c>
      <c r="AG158" s="81"/>
      <c r="AH158" s="230">
        <f>AH156+AH157</f>
        <v>108000</v>
      </c>
      <c r="AI158" s="230"/>
      <c r="AJ158" s="41">
        <v>84483.31</v>
      </c>
      <c r="AK158" s="230"/>
      <c r="AL158" s="41">
        <f>SUM(AL156:AL157)</f>
        <v>130000</v>
      </c>
      <c r="AM158" s="41"/>
      <c r="AN158" s="41">
        <f>SUM(AN156:AN157)</f>
        <v>77742.489999999991</v>
      </c>
      <c r="AO158" s="41"/>
      <c r="AP158" s="41">
        <f>SUM(AP156:AP157)</f>
        <v>55712.42</v>
      </c>
      <c r="AQ158" s="41"/>
      <c r="AR158" s="41">
        <f>SUM(AR156:AR157)</f>
        <v>32499.940000000002</v>
      </c>
      <c r="AS158" s="41">
        <f t="shared" si="146"/>
        <v>111424.84</v>
      </c>
      <c r="AT158" s="41"/>
      <c r="AU158" s="42"/>
      <c r="AV158" s="79">
        <f>SUM(AV156:AV157)</f>
        <v>80000</v>
      </c>
      <c r="AW158" s="80"/>
      <c r="AX158" s="81">
        <f t="shared" si="73"/>
        <v>-52257.510000000009</v>
      </c>
      <c r="AY158" s="81"/>
      <c r="AZ158" s="176">
        <f>AZ156+AZ157</f>
        <v>19036.68</v>
      </c>
      <c r="BA158" s="79"/>
      <c r="BB158" s="79"/>
      <c r="BC158" s="83"/>
      <c r="BD158" s="79">
        <f>SUM(BD156:BD157)</f>
        <v>60335.789999999994</v>
      </c>
      <c r="BE158" s="79"/>
      <c r="BF158" s="79"/>
      <c r="BG158" s="79">
        <f>SUM(BG156:BG157)</f>
        <v>80000</v>
      </c>
      <c r="BH158" s="79"/>
      <c r="BI158" s="79">
        <f>SUM(BI156:BI157)</f>
        <v>66281.58</v>
      </c>
      <c r="BJ158" s="79"/>
      <c r="BK158" s="79">
        <f>SUM(BK156:BK157)</f>
        <v>48000</v>
      </c>
      <c r="BL158" s="79"/>
      <c r="BM158" s="84">
        <f>BK158-BG158</f>
        <v>-32000</v>
      </c>
      <c r="BN158" s="84"/>
      <c r="BO158" s="79">
        <f>SUM(BO156:BO157)</f>
        <v>27171.510000000002</v>
      </c>
      <c r="BP158" s="79"/>
      <c r="BQ158" s="85">
        <f>SUM(BQ156:BQ157)</f>
        <v>63228.92</v>
      </c>
      <c r="BR158" s="85"/>
      <c r="BS158" s="85">
        <f t="shared" si="128"/>
        <v>15228.919999999998</v>
      </c>
      <c r="BT158" s="84"/>
      <c r="BU158" s="79">
        <f>SUM(BU156:BU157)</f>
        <v>50000</v>
      </c>
      <c r="BV158" s="84"/>
      <c r="BW158" s="84">
        <f t="shared" si="145"/>
        <v>2000</v>
      </c>
      <c r="BX158" s="58"/>
      <c r="BY158" s="91"/>
      <c r="BZ158" s="79">
        <f>SUM(BZ156:BZ157)</f>
        <v>52815.49</v>
      </c>
      <c r="CA158" s="79"/>
      <c r="CB158" s="79">
        <f>SUM(CB156:CB157)</f>
        <v>32500</v>
      </c>
      <c r="CC158" s="79"/>
      <c r="CD158" s="79">
        <f>SUM(CD156:CD157)</f>
        <v>32080.080000000002</v>
      </c>
      <c r="CE158" s="79"/>
      <c r="CF158" s="79">
        <f>SUM(CF156:CF157)</f>
        <v>26750</v>
      </c>
      <c r="CG158" s="198"/>
      <c r="CH158" s="199">
        <f>CB158-BU158</f>
        <v>-17500</v>
      </c>
      <c r="CI158" s="199"/>
      <c r="CJ158" s="311"/>
      <c r="CK158" s="346">
        <f t="shared" si="138"/>
        <v>2229.1666666666665</v>
      </c>
    </row>
    <row r="159" spans="1:89" ht="18" customHeight="1" x14ac:dyDescent="0.2">
      <c r="A159" s="4"/>
      <c r="B159" s="27"/>
      <c r="C159" s="28" t="s">
        <v>121</v>
      </c>
      <c r="D159" s="28"/>
      <c r="E159" s="29"/>
      <c r="F159" s="28"/>
      <c r="G159" s="30"/>
      <c r="H159" s="31"/>
      <c r="I159" s="30"/>
      <c r="J159" s="31"/>
      <c r="K159" s="30"/>
      <c r="L159" s="31"/>
      <c r="M159" s="32"/>
      <c r="N159" s="31"/>
      <c r="O159" s="30"/>
      <c r="P159" s="31"/>
      <c r="Q159" s="30"/>
      <c r="R159" s="31"/>
      <c r="S159" s="30"/>
      <c r="T159" s="31"/>
      <c r="U159" s="32"/>
      <c r="V159" s="31"/>
      <c r="W159" s="33"/>
      <c r="X159" s="33"/>
      <c r="Y159" s="33"/>
      <c r="Z159" s="33"/>
      <c r="AA159" s="33"/>
      <c r="AB159" s="33"/>
      <c r="AC159" s="33"/>
      <c r="AD159" s="34"/>
      <c r="AE159" s="34"/>
      <c r="AF159" s="49"/>
      <c r="AG159" s="50"/>
      <c r="AH159" s="51"/>
      <c r="AI159" s="51"/>
      <c r="AJ159" s="51"/>
      <c r="AK159" s="51"/>
      <c r="AL159" s="51"/>
      <c r="AM159" s="51"/>
      <c r="AN159" s="51"/>
      <c r="AO159" s="51"/>
      <c r="AP159" s="51"/>
      <c r="AQ159" s="51"/>
      <c r="AR159" s="51"/>
      <c r="AS159" s="51"/>
      <c r="AT159" s="51"/>
      <c r="AU159" s="65"/>
      <c r="AV159" s="54"/>
      <c r="AW159" s="55"/>
      <c r="AX159" s="56">
        <f t="shared" ref="AX159:AX177" si="147">AN159-AL159</f>
        <v>0</v>
      </c>
      <c r="AY159" s="88"/>
      <c r="AZ159" s="89"/>
      <c r="BA159" s="54"/>
      <c r="BB159" s="54"/>
      <c r="BC159" s="60"/>
      <c r="BD159" s="54"/>
      <c r="BE159" s="54"/>
      <c r="BF159" s="54"/>
      <c r="BG159" s="54"/>
      <c r="BH159" s="54"/>
      <c r="BI159" s="54"/>
      <c r="BJ159" s="54"/>
      <c r="BK159" s="54"/>
      <c r="BL159" s="54"/>
      <c r="BM159" s="58"/>
      <c r="BN159" s="58"/>
      <c r="BO159" s="54"/>
      <c r="BP159" s="54"/>
      <c r="BQ159" s="66"/>
      <c r="BR159" s="66"/>
      <c r="BS159" s="66"/>
      <c r="BT159" s="58"/>
      <c r="BU159" s="54"/>
      <c r="BV159" s="58"/>
      <c r="BW159" s="58">
        <f t="shared" si="145"/>
        <v>0</v>
      </c>
      <c r="BX159" s="58"/>
      <c r="BY159" s="91"/>
      <c r="BZ159" s="66"/>
      <c r="CA159" s="221"/>
      <c r="CB159" s="222"/>
      <c r="CC159" s="222"/>
      <c r="CD159" s="222"/>
      <c r="CE159" s="222"/>
      <c r="CF159" s="222"/>
      <c r="CG159" s="223"/>
      <c r="CH159" s="200"/>
      <c r="CI159" s="224"/>
      <c r="CJ159" s="317"/>
      <c r="CK159" s="346">
        <f t="shared" si="138"/>
        <v>0</v>
      </c>
    </row>
    <row r="160" spans="1:89" ht="15" customHeight="1" x14ac:dyDescent="0.2">
      <c r="A160" s="4"/>
      <c r="B160" s="27"/>
      <c r="C160" s="28"/>
      <c r="D160" s="28" t="s">
        <v>122</v>
      </c>
      <c r="E160" s="29"/>
      <c r="F160" s="28"/>
      <c r="G160" s="30">
        <v>0</v>
      </c>
      <c r="H160" s="31"/>
      <c r="I160" s="30">
        <v>8333.3700000000008</v>
      </c>
      <c r="J160" s="31"/>
      <c r="K160" s="30">
        <f>ROUND((G160-I160),5)</f>
        <v>-8333.3700000000008</v>
      </c>
      <c r="L160" s="31"/>
      <c r="M160" s="32">
        <f>ROUND(IF(I160=0, IF(G160=0, 0, 1), G160/I160),5)</f>
        <v>0</v>
      </c>
      <c r="N160" s="31"/>
      <c r="O160" s="30">
        <v>150659.34</v>
      </c>
      <c r="P160" s="31"/>
      <c r="Q160" s="30">
        <v>8333.33</v>
      </c>
      <c r="R160" s="31"/>
      <c r="S160" s="30">
        <f>ROUND((O160-Q160),5)</f>
        <v>142326.01</v>
      </c>
      <c r="T160" s="31"/>
      <c r="U160" s="32">
        <f>ROUND(IF(Q160=0, IF(O160=0, 0, 1), O160/Q160),5)</f>
        <v>18.079129999999999</v>
      </c>
      <c r="V160" s="31"/>
      <c r="W160" s="33">
        <v>3288.02</v>
      </c>
      <c r="X160" s="33"/>
      <c r="Y160" s="33">
        <v>8333.33</v>
      </c>
      <c r="Z160" s="33"/>
      <c r="AA160" s="33">
        <f>ROUND((W160-Y160),5)</f>
        <v>-5045.3100000000004</v>
      </c>
      <c r="AB160" s="33"/>
      <c r="AC160" s="33"/>
      <c r="AD160" s="34">
        <v>103000</v>
      </c>
      <c r="AE160" s="34"/>
      <c r="AF160" s="49">
        <v>102123.61</v>
      </c>
      <c r="AG160" s="50"/>
      <c r="AH160" s="51">
        <v>100000</v>
      </c>
      <c r="AI160" s="51"/>
      <c r="AJ160" s="51">
        <v>102921.12</v>
      </c>
      <c r="AK160" s="51"/>
      <c r="AL160" s="51">
        <v>100000</v>
      </c>
      <c r="AM160" s="51"/>
      <c r="AN160" s="51">
        <v>176039.2</v>
      </c>
      <c r="AO160" s="51"/>
      <c r="AP160" s="51">
        <f>85615.48+336.25</f>
        <v>85951.73</v>
      </c>
      <c r="AQ160" s="51"/>
      <c r="AR160" s="51">
        <f>ROUND(I160+Q160+Y160,5)</f>
        <v>25000.03</v>
      </c>
      <c r="AS160" s="51">
        <f t="shared" ref="AS160:AS162" si="148">AP160*2</f>
        <v>171903.46</v>
      </c>
      <c r="AT160" s="51"/>
      <c r="AU160" s="65"/>
      <c r="AV160" s="54">
        <v>100000</v>
      </c>
      <c r="AW160" s="55"/>
      <c r="AX160" s="56">
        <f t="shared" si="147"/>
        <v>76039.200000000012</v>
      </c>
      <c r="AY160" s="56"/>
      <c r="AZ160" s="54">
        <v>91672.33</v>
      </c>
      <c r="BA160" s="54"/>
      <c r="BB160" s="54"/>
      <c r="BC160" s="60"/>
      <c r="BD160" s="54">
        <v>131572.93</v>
      </c>
      <c r="BE160" s="54"/>
      <c r="BF160" s="54"/>
      <c r="BG160" s="54">
        <v>60000</v>
      </c>
      <c r="BH160" s="54"/>
      <c r="BI160" s="54">
        <v>74245.86</v>
      </c>
      <c r="BJ160" s="54"/>
      <c r="BK160" s="54">
        <v>50000</v>
      </c>
      <c r="BL160" s="54"/>
      <c r="BM160" s="58">
        <f>BK160-BG160</f>
        <v>-10000</v>
      </c>
      <c r="BN160" s="58"/>
      <c r="BO160" s="54">
        <v>34861.730000000003</v>
      </c>
      <c r="BP160" s="54"/>
      <c r="BQ160" s="66">
        <v>46623.43</v>
      </c>
      <c r="BR160" s="66"/>
      <c r="BS160" s="66">
        <f t="shared" si="128"/>
        <v>-3376.5699999999997</v>
      </c>
      <c r="BT160" s="58"/>
      <c r="BU160" s="54">
        <v>25000</v>
      </c>
      <c r="BV160" s="58"/>
      <c r="BW160" s="58">
        <f t="shared" si="145"/>
        <v>-25000</v>
      </c>
      <c r="BX160" s="58"/>
      <c r="BY160" s="216" t="s">
        <v>296</v>
      </c>
      <c r="BZ160" s="115">
        <v>25665.3</v>
      </c>
      <c r="CA160" s="115"/>
      <c r="CB160" s="227">
        <v>45000</v>
      </c>
      <c r="CC160" s="227"/>
      <c r="CD160" s="227">
        <v>32021.360000000001</v>
      </c>
      <c r="CE160" s="227"/>
      <c r="CF160" s="227">
        <v>45000</v>
      </c>
      <c r="CG160" s="227"/>
      <c r="CH160" s="61">
        <f t="shared" ref="CH160:CH161" si="149">CF160-CB160</f>
        <v>0</v>
      </c>
      <c r="CI160" s="200"/>
      <c r="CJ160" s="318" t="s">
        <v>309</v>
      </c>
      <c r="CK160" s="346">
        <f t="shared" si="138"/>
        <v>3750</v>
      </c>
    </row>
    <row r="161" spans="1:89" ht="19.5" customHeight="1" thickBot="1" x14ac:dyDescent="0.25">
      <c r="A161" s="4"/>
      <c r="B161" s="27"/>
      <c r="C161" s="28"/>
      <c r="D161" s="28" t="s">
        <v>123</v>
      </c>
      <c r="E161" s="29"/>
      <c r="F161" s="28"/>
      <c r="G161" s="68">
        <v>0</v>
      </c>
      <c r="H161" s="31"/>
      <c r="I161" s="68">
        <v>250</v>
      </c>
      <c r="J161" s="31"/>
      <c r="K161" s="68">
        <f>ROUND((G161-I161),5)</f>
        <v>-250</v>
      </c>
      <c r="L161" s="31"/>
      <c r="M161" s="69">
        <f>ROUND(IF(I161=0, IF(G161=0, 0, 1), G161/I161),5)</f>
        <v>0</v>
      </c>
      <c r="N161" s="31"/>
      <c r="O161" s="68">
        <v>147.94999999999999</v>
      </c>
      <c r="P161" s="31"/>
      <c r="Q161" s="68">
        <v>250</v>
      </c>
      <c r="R161" s="31"/>
      <c r="S161" s="68">
        <f>ROUND((O161-Q161),5)</f>
        <v>-102.05</v>
      </c>
      <c r="T161" s="31"/>
      <c r="U161" s="69">
        <f>ROUND(IF(Q161=0, IF(O161=0, 0, 1), O161/Q161),5)</f>
        <v>0.59179999999999999</v>
      </c>
      <c r="V161" s="31"/>
      <c r="W161" s="33">
        <v>87.82</v>
      </c>
      <c r="X161" s="33"/>
      <c r="Y161" s="33">
        <v>250</v>
      </c>
      <c r="Z161" s="33"/>
      <c r="AA161" s="33">
        <f>ROUND((W161-Y161),5)</f>
        <v>-162.18</v>
      </c>
      <c r="AB161" s="33"/>
      <c r="AC161" s="33"/>
      <c r="AD161" s="34"/>
      <c r="AE161" s="34"/>
      <c r="AF161" s="71">
        <v>85</v>
      </c>
      <c r="AG161" s="72"/>
      <c r="AH161" s="73">
        <v>3000</v>
      </c>
      <c r="AI161" s="73"/>
      <c r="AJ161" s="73">
        <v>1390.6</v>
      </c>
      <c r="AK161" s="73"/>
      <c r="AL161" s="73">
        <v>3000</v>
      </c>
      <c r="AM161" s="73"/>
      <c r="AN161" s="73">
        <v>822.15</v>
      </c>
      <c r="AO161" s="73"/>
      <c r="AP161" s="73">
        <v>869.23</v>
      </c>
      <c r="AQ161" s="73"/>
      <c r="AR161" s="73">
        <f>ROUND(I161+Q161+Y161,5)</f>
        <v>750</v>
      </c>
      <c r="AS161" s="73">
        <f t="shared" si="148"/>
        <v>1738.46</v>
      </c>
      <c r="AT161" s="73"/>
      <c r="AU161" s="116"/>
      <c r="AV161" s="93">
        <v>3000</v>
      </c>
      <c r="AW161" s="94"/>
      <c r="AX161" s="95">
        <f t="shared" si="147"/>
        <v>-2177.85</v>
      </c>
      <c r="AY161" s="95"/>
      <c r="AZ161" s="93">
        <v>79.84</v>
      </c>
      <c r="BA161" s="93"/>
      <c r="BB161" s="93"/>
      <c r="BC161" s="99"/>
      <c r="BD161" s="93">
        <v>90.06</v>
      </c>
      <c r="BE161" s="93"/>
      <c r="BF161" s="93"/>
      <c r="BG161" s="93">
        <v>3000</v>
      </c>
      <c r="BH161" s="93"/>
      <c r="BI161" s="93">
        <v>1495.73</v>
      </c>
      <c r="BJ161" s="93"/>
      <c r="BK161" s="93">
        <v>3000</v>
      </c>
      <c r="BL161" s="93"/>
      <c r="BM161" s="101">
        <f>BK161-BG161</f>
        <v>0</v>
      </c>
      <c r="BN161" s="101"/>
      <c r="BO161" s="93">
        <v>1875.2</v>
      </c>
      <c r="BP161" s="93"/>
      <c r="BQ161" s="102">
        <v>3069.9</v>
      </c>
      <c r="BR161" s="102"/>
      <c r="BS161" s="102">
        <f t="shared" si="128"/>
        <v>69.900000000000091</v>
      </c>
      <c r="BT161" s="101"/>
      <c r="BU161" s="93">
        <v>3000</v>
      </c>
      <c r="BV161" s="101"/>
      <c r="BW161" s="101">
        <f t="shared" si="145"/>
        <v>0</v>
      </c>
      <c r="BX161" s="58"/>
      <c r="BY161" s="90" t="s">
        <v>204</v>
      </c>
      <c r="BZ161" s="118">
        <v>3137.48</v>
      </c>
      <c r="CA161" s="118"/>
      <c r="CB161" s="220">
        <v>3000</v>
      </c>
      <c r="CC161" s="220"/>
      <c r="CD161" s="220">
        <v>0</v>
      </c>
      <c r="CE161" s="220"/>
      <c r="CF161" s="220">
        <v>3000</v>
      </c>
      <c r="CG161" s="220"/>
      <c r="CH161" s="103">
        <f t="shared" si="149"/>
        <v>0</v>
      </c>
      <c r="CI161" s="129"/>
      <c r="CJ161" s="319" t="s">
        <v>310</v>
      </c>
      <c r="CK161" s="346">
        <f t="shared" si="138"/>
        <v>250</v>
      </c>
    </row>
    <row r="162" spans="1:89" ht="18" customHeight="1" thickBot="1" x14ac:dyDescent="0.25">
      <c r="A162" s="4"/>
      <c r="B162" s="27"/>
      <c r="C162" s="28" t="s">
        <v>124</v>
      </c>
      <c r="D162" s="28"/>
      <c r="E162" s="29"/>
      <c r="F162" s="28"/>
      <c r="G162" s="30">
        <f>ROUND(SUM(G159:G161),5)</f>
        <v>0</v>
      </c>
      <c r="H162" s="31"/>
      <c r="I162" s="30">
        <f>ROUND(SUM(I159:I161),5)</f>
        <v>8583.3700000000008</v>
      </c>
      <c r="J162" s="31"/>
      <c r="K162" s="30">
        <f>ROUND((G162-I162),5)</f>
        <v>-8583.3700000000008</v>
      </c>
      <c r="L162" s="31"/>
      <c r="M162" s="32">
        <f>ROUND(IF(I162=0, IF(G162=0, 0, 1), G162/I162),5)</f>
        <v>0</v>
      </c>
      <c r="N162" s="31"/>
      <c r="O162" s="30">
        <f>ROUND(SUM(O159:O161),5)</f>
        <v>150807.29</v>
      </c>
      <c r="P162" s="31"/>
      <c r="Q162" s="30">
        <f>ROUND(SUM(Q159:Q161),5)</f>
        <v>8583.33</v>
      </c>
      <c r="R162" s="31"/>
      <c r="S162" s="30">
        <f>ROUND((O162-Q162),5)</f>
        <v>142223.96</v>
      </c>
      <c r="T162" s="31"/>
      <c r="U162" s="32">
        <f>ROUND(IF(Q162=0, IF(O162=0, 0, 1), O162/Q162),5)</f>
        <v>17.569790000000001</v>
      </c>
      <c r="V162" s="31"/>
      <c r="W162" s="76">
        <f>SUM(W160:W161)</f>
        <v>3375.84</v>
      </c>
      <c r="X162" s="76"/>
      <c r="Y162" s="76">
        <f>SUM(Y160:Y161)</f>
        <v>8583.33</v>
      </c>
      <c r="Z162" s="76"/>
      <c r="AA162" s="76">
        <f>ROUND((W162-Y162),5)</f>
        <v>-5207.49</v>
      </c>
      <c r="AB162" s="76"/>
      <c r="AC162" s="76"/>
      <c r="AD162" s="174">
        <f>SUM(AD160:AD161)</f>
        <v>103000</v>
      </c>
      <c r="AE162" s="174"/>
      <c r="AF162" s="175">
        <f>SUM(AF160:AF161)</f>
        <v>102208.61</v>
      </c>
      <c r="AG162" s="79"/>
      <c r="AH162" s="41">
        <f>SUM(AH160:AH161)</f>
        <v>103000</v>
      </c>
      <c r="AI162" s="41"/>
      <c r="AJ162" s="41">
        <v>104311.72</v>
      </c>
      <c r="AK162" s="41"/>
      <c r="AL162" s="41">
        <f>SUM(AL160:AL161)</f>
        <v>103000</v>
      </c>
      <c r="AM162" s="41"/>
      <c r="AN162" s="41">
        <f>SUM(AN160:AN161)</f>
        <v>176861.35</v>
      </c>
      <c r="AO162" s="41"/>
      <c r="AP162" s="41">
        <f>SUM(AP160:AP161)</f>
        <v>86820.959999999992</v>
      </c>
      <c r="AQ162" s="41"/>
      <c r="AR162" s="41">
        <f>SUM(AR160:AR161)</f>
        <v>25750.03</v>
      </c>
      <c r="AS162" s="41">
        <f t="shared" si="148"/>
        <v>173641.91999999998</v>
      </c>
      <c r="AT162" s="41"/>
      <c r="AU162" s="42"/>
      <c r="AV162" s="79">
        <f>SUM(AV160:AV161)</f>
        <v>103000</v>
      </c>
      <c r="AW162" s="80"/>
      <c r="AX162" s="81">
        <f t="shared" si="147"/>
        <v>73861.350000000006</v>
      </c>
      <c r="AY162" s="81"/>
      <c r="AZ162" s="79">
        <f>SUM(AZ160:AZ161)</f>
        <v>91752.17</v>
      </c>
      <c r="BA162" s="79"/>
      <c r="BB162" s="79"/>
      <c r="BC162" s="83"/>
      <c r="BD162" s="79">
        <f>SUM(BD160:BD161)</f>
        <v>131662.99</v>
      </c>
      <c r="BE162" s="79"/>
      <c r="BF162" s="79"/>
      <c r="BG162" s="79">
        <f>SUM(BG160:BG161)</f>
        <v>63000</v>
      </c>
      <c r="BH162" s="79"/>
      <c r="BI162" s="79">
        <f>SUM(BI160:BI161)</f>
        <v>75741.59</v>
      </c>
      <c r="BJ162" s="79"/>
      <c r="BK162" s="79">
        <f>SUM(BK160:BK161)</f>
        <v>53000</v>
      </c>
      <c r="BL162" s="79"/>
      <c r="BM162" s="84">
        <f>BK162-BG162</f>
        <v>-10000</v>
      </c>
      <c r="BN162" s="84"/>
      <c r="BO162" s="79">
        <f>SUM(BO160:BO161)</f>
        <v>36736.93</v>
      </c>
      <c r="BP162" s="79"/>
      <c r="BQ162" s="85">
        <f>SUM(BQ160:BQ161)</f>
        <v>49693.33</v>
      </c>
      <c r="BR162" s="85"/>
      <c r="BS162" s="85">
        <f t="shared" si="128"/>
        <v>-3306.6699999999983</v>
      </c>
      <c r="BT162" s="84"/>
      <c r="BU162" s="79">
        <f>SUM(BU160:BU161)</f>
        <v>28000</v>
      </c>
      <c r="BV162" s="84"/>
      <c r="BW162" s="84">
        <f t="shared" si="145"/>
        <v>-25000</v>
      </c>
      <c r="BX162" s="58"/>
      <c r="BY162" s="91"/>
      <c r="BZ162" s="79">
        <f>SUM(BZ160:BZ161)</f>
        <v>28802.78</v>
      </c>
      <c r="CA162" s="79"/>
      <c r="CB162" s="79">
        <f>SUM(CB160:CB161)</f>
        <v>48000</v>
      </c>
      <c r="CC162" s="79"/>
      <c r="CD162" s="79">
        <f>SUM(CD160:CD161)</f>
        <v>32021.360000000001</v>
      </c>
      <c r="CE162" s="79"/>
      <c r="CF162" s="79">
        <f>SUM(CF160:CF161)</f>
        <v>48000</v>
      </c>
      <c r="CG162" s="198"/>
      <c r="CH162" s="199">
        <f>CB162-BU162</f>
        <v>20000</v>
      </c>
      <c r="CI162" s="199"/>
      <c r="CJ162" s="311"/>
      <c r="CK162" s="346">
        <f t="shared" si="138"/>
        <v>4000</v>
      </c>
    </row>
    <row r="163" spans="1:89" ht="16.5" customHeight="1" x14ac:dyDescent="0.2">
      <c r="A163" s="4"/>
      <c r="B163" s="27"/>
      <c r="C163" s="28" t="s">
        <v>125</v>
      </c>
      <c r="D163" s="28"/>
      <c r="E163" s="29"/>
      <c r="F163" s="28"/>
      <c r="G163" s="30"/>
      <c r="H163" s="31"/>
      <c r="I163" s="30"/>
      <c r="J163" s="31"/>
      <c r="K163" s="30"/>
      <c r="L163" s="31"/>
      <c r="M163" s="32"/>
      <c r="N163" s="31"/>
      <c r="O163" s="30"/>
      <c r="P163" s="31"/>
      <c r="Q163" s="30"/>
      <c r="R163" s="31"/>
      <c r="S163" s="30"/>
      <c r="T163" s="31"/>
      <c r="U163" s="32"/>
      <c r="V163" s="31"/>
      <c r="W163" s="33"/>
      <c r="X163" s="33"/>
      <c r="Y163" s="33"/>
      <c r="Z163" s="33"/>
      <c r="AA163" s="33"/>
      <c r="AB163" s="33"/>
      <c r="AC163" s="33"/>
      <c r="AD163" s="34"/>
      <c r="AE163" s="34"/>
      <c r="AF163" s="49"/>
      <c r="AG163" s="50"/>
      <c r="AH163" s="51"/>
      <c r="AI163" s="51"/>
      <c r="AJ163" s="51"/>
      <c r="AK163" s="51"/>
      <c r="AL163" s="51"/>
      <c r="AM163" s="51"/>
      <c r="AN163" s="51"/>
      <c r="AO163" s="51"/>
      <c r="AP163" s="51"/>
      <c r="AQ163" s="51"/>
      <c r="AR163" s="51"/>
      <c r="AS163" s="51"/>
      <c r="AT163" s="51"/>
      <c r="AU163" s="65"/>
      <c r="AV163" s="54"/>
      <c r="AW163" s="55"/>
      <c r="AX163" s="56">
        <f t="shared" si="147"/>
        <v>0</v>
      </c>
      <c r="AY163" s="56"/>
      <c r="AZ163" s="54"/>
      <c r="BA163" s="54"/>
      <c r="BB163" s="54"/>
      <c r="BC163" s="60"/>
      <c r="BD163" s="54"/>
      <c r="BE163" s="54"/>
      <c r="BF163" s="54"/>
      <c r="BG163" s="54"/>
      <c r="BH163" s="54"/>
      <c r="BI163" s="54"/>
      <c r="BJ163" s="54"/>
      <c r="BK163" s="54"/>
      <c r="BL163" s="54"/>
      <c r="BM163" s="58"/>
      <c r="BN163" s="58"/>
      <c r="BO163" s="54"/>
      <c r="BP163" s="54"/>
      <c r="BQ163" s="66"/>
      <c r="BR163" s="66"/>
      <c r="BS163" s="66"/>
      <c r="BT163" s="58"/>
      <c r="BU163" s="54"/>
      <c r="BV163" s="58"/>
      <c r="BW163" s="58">
        <f t="shared" si="145"/>
        <v>0</v>
      </c>
      <c r="BX163" s="58"/>
      <c r="BY163" s="91"/>
      <c r="BZ163" s="66"/>
      <c r="CA163" s="221"/>
      <c r="CB163" s="222"/>
      <c r="CC163" s="222"/>
      <c r="CD163" s="222"/>
      <c r="CE163" s="222"/>
      <c r="CF163" s="222"/>
      <c r="CG163" s="223"/>
      <c r="CH163" s="200"/>
      <c r="CI163" s="200"/>
      <c r="CJ163" s="312"/>
      <c r="CK163" s="346">
        <f t="shared" si="138"/>
        <v>0</v>
      </c>
    </row>
    <row r="164" spans="1:89" ht="17.25" customHeight="1" x14ac:dyDescent="0.2">
      <c r="A164" s="4"/>
      <c r="B164" s="27"/>
      <c r="C164" s="28"/>
      <c r="D164" s="28" t="s">
        <v>126</v>
      </c>
      <c r="E164" s="29"/>
      <c r="F164" s="28"/>
      <c r="G164" s="30">
        <v>3145.97</v>
      </c>
      <c r="H164" s="31"/>
      <c r="I164" s="30">
        <v>15833.37</v>
      </c>
      <c r="J164" s="31"/>
      <c r="K164" s="30">
        <f>ROUND((G164-I164),5)</f>
        <v>-12687.4</v>
      </c>
      <c r="L164" s="31"/>
      <c r="M164" s="32">
        <f>ROUND(IF(I164=0, IF(G164=0, 0, 1), G164/I164),5)</f>
        <v>0.19869000000000001</v>
      </c>
      <c r="N164" s="31"/>
      <c r="O164" s="30">
        <v>25289.93</v>
      </c>
      <c r="P164" s="31"/>
      <c r="Q164" s="30">
        <v>15833.33</v>
      </c>
      <c r="R164" s="31"/>
      <c r="S164" s="30">
        <f>ROUND((O164-Q164),5)</f>
        <v>9456.6</v>
      </c>
      <c r="T164" s="31"/>
      <c r="U164" s="32">
        <f>ROUND(IF(Q164=0, IF(O164=0, 0, 1), O164/Q164),5)</f>
        <v>1.5972599999999999</v>
      </c>
      <c r="V164" s="31"/>
      <c r="W164" s="33">
        <v>13628.7</v>
      </c>
      <c r="X164" s="33"/>
      <c r="Y164" s="33">
        <v>15833.33</v>
      </c>
      <c r="Z164" s="33"/>
      <c r="AA164" s="33">
        <f>ROUND((W164-Y164),5)</f>
        <v>-2204.63</v>
      </c>
      <c r="AB164" s="33"/>
      <c r="AC164" s="33"/>
      <c r="AD164" s="34">
        <v>185000</v>
      </c>
      <c r="AE164" s="34"/>
      <c r="AF164" s="49">
        <v>168915.13</v>
      </c>
      <c r="AG164" s="50"/>
      <c r="AH164" s="51">
        <v>185000</v>
      </c>
      <c r="AI164" s="51"/>
      <c r="AJ164" s="51">
        <v>179083.66</v>
      </c>
      <c r="AK164" s="51"/>
      <c r="AL164" s="51">
        <v>190000</v>
      </c>
      <c r="AM164" s="51"/>
      <c r="AN164" s="51">
        <v>184459.4</v>
      </c>
      <c r="AO164" s="51"/>
      <c r="AP164" s="51">
        <v>67792.62</v>
      </c>
      <c r="AQ164" s="51"/>
      <c r="AR164" s="51">
        <f>ROUND(I164+Q164+Y164,5)</f>
        <v>47500.03</v>
      </c>
      <c r="AS164" s="51">
        <f t="shared" ref="AS164:AS177" si="150">AP164*2</f>
        <v>135585.24</v>
      </c>
      <c r="AT164" s="51"/>
      <c r="AU164" s="65"/>
      <c r="AV164" s="54">
        <v>190000</v>
      </c>
      <c r="AW164" s="55"/>
      <c r="AX164" s="56">
        <f t="shared" si="147"/>
        <v>-5540.6000000000058</v>
      </c>
      <c r="AY164" s="56"/>
      <c r="AZ164" s="54">
        <v>81957.55</v>
      </c>
      <c r="BA164" s="54"/>
      <c r="BB164" s="54"/>
      <c r="BC164" s="60"/>
      <c r="BD164" s="54">
        <f>188854.78+758.03</f>
        <v>189612.81</v>
      </c>
      <c r="BE164" s="54"/>
      <c r="BF164" s="54"/>
      <c r="BG164" s="54">
        <v>190000</v>
      </c>
      <c r="BH164" s="54"/>
      <c r="BI164" s="54">
        <v>204149.59</v>
      </c>
      <c r="BJ164" s="54"/>
      <c r="BK164" s="54">
        <v>185000</v>
      </c>
      <c r="BL164" s="54"/>
      <c r="BM164" s="58">
        <f t="shared" ref="BM164:BM176" si="151">BK164-BG164</f>
        <v>-5000</v>
      </c>
      <c r="BN164" s="58"/>
      <c r="BO164" s="54">
        <v>82618.53</v>
      </c>
      <c r="BP164" s="54"/>
      <c r="BQ164" s="66">
        <v>178543.15</v>
      </c>
      <c r="BR164" s="66"/>
      <c r="BS164" s="66">
        <f t="shared" si="128"/>
        <v>-6456.8500000000058</v>
      </c>
      <c r="BT164" s="58"/>
      <c r="BU164" s="54">
        <v>190000</v>
      </c>
      <c r="BV164" s="58"/>
      <c r="BW164" s="58">
        <f t="shared" si="145"/>
        <v>5000</v>
      </c>
      <c r="BX164" s="58"/>
      <c r="BY164" s="231" t="s">
        <v>204</v>
      </c>
      <c r="BZ164" s="115">
        <v>220870.09</v>
      </c>
      <c r="CA164" s="115"/>
      <c r="CB164" s="226">
        <v>190000</v>
      </c>
      <c r="CC164" s="226"/>
      <c r="CD164" s="226">
        <v>105039.88</v>
      </c>
      <c r="CE164" s="226"/>
      <c r="CF164" s="226">
        <v>174800</v>
      </c>
      <c r="CG164" s="227"/>
      <c r="CH164" s="61">
        <f t="shared" ref="CH164:CH165" si="152">CF164-CB164</f>
        <v>-15200</v>
      </c>
      <c r="CI164" s="200"/>
      <c r="CJ164" s="316" t="s">
        <v>311</v>
      </c>
      <c r="CK164" s="346">
        <f t="shared" si="138"/>
        <v>14566.666666666666</v>
      </c>
    </row>
    <row r="165" spans="1:89" ht="15" customHeight="1" thickBot="1" x14ac:dyDescent="0.25">
      <c r="A165" s="4"/>
      <c r="B165" s="27"/>
      <c r="C165" s="28"/>
      <c r="D165" s="28" t="s">
        <v>127</v>
      </c>
      <c r="E165" s="29"/>
      <c r="F165" s="28"/>
      <c r="G165" s="68">
        <v>5869.13</v>
      </c>
      <c r="H165" s="31"/>
      <c r="I165" s="68">
        <v>9583.3700000000008</v>
      </c>
      <c r="J165" s="31"/>
      <c r="K165" s="68">
        <f>ROUND((G165-I165),5)</f>
        <v>-3714.24</v>
      </c>
      <c r="L165" s="31"/>
      <c r="M165" s="69">
        <f>ROUND(IF(I165=0, IF(G165=0, 0, 1), G165/I165),5)</f>
        <v>0.61243000000000003</v>
      </c>
      <c r="N165" s="31"/>
      <c r="O165" s="68">
        <v>6107.14</v>
      </c>
      <c r="P165" s="31"/>
      <c r="Q165" s="68">
        <v>9583.33</v>
      </c>
      <c r="R165" s="31"/>
      <c r="S165" s="68">
        <f>ROUND((O165-Q165),5)</f>
        <v>-3476.19</v>
      </c>
      <c r="T165" s="31"/>
      <c r="U165" s="69">
        <f>ROUND(IF(Q165=0, IF(O165=0, 0, 1), O165/Q165),5)</f>
        <v>0.63727</v>
      </c>
      <c r="V165" s="31"/>
      <c r="W165" s="33">
        <v>11947.23</v>
      </c>
      <c r="X165" s="33"/>
      <c r="Y165" s="33">
        <v>9583.33</v>
      </c>
      <c r="Z165" s="33"/>
      <c r="AA165" s="33">
        <f>ROUND((W165-Y165),5)</f>
        <v>2363.9</v>
      </c>
      <c r="AB165" s="33"/>
      <c r="AC165" s="33"/>
      <c r="AD165" s="34">
        <v>164000</v>
      </c>
      <c r="AE165" s="34"/>
      <c r="AF165" s="71">
        <v>162482.4</v>
      </c>
      <c r="AG165" s="72"/>
      <c r="AH165" s="73">
        <v>150000</v>
      </c>
      <c r="AI165" s="73"/>
      <c r="AJ165" s="73">
        <v>90522.98</v>
      </c>
      <c r="AK165" s="73"/>
      <c r="AL165" s="73">
        <v>115000</v>
      </c>
      <c r="AM165" s="73"/>
      <c r="AN165" s="73">
        <v>95399.84</v>
      </c>
      <c r="AO165" s="73"/>
      <c r="AP165" s="73">
        <v>49763.88</v>
      </c>
      <c r="AQ165" s="73"/>
      <c r="AR165" s="73">
        <f>ROUND(I165+Q165+Y165,5)</f>
        <v>28750.03</v>
      </c>
      <c r="AS165" s="73">
        <f t="shared" si="150"/>
        <v>99527.76</v>
      </c>
      <c r="AT165" s="73"/>
      <c r="AU165" s="116"/>
      <c r="AV165" s="93">
        <v>115000</v>
      </c>
      <c r="AW165" s="94"/>
      <c r="AX165" s="95">
        <f t="shared" si="147"/>
        <v>-19600.160000000003</v>
      </c>
      <c r="AY165" s="95"/>
      <c r="AZ165" s="93">
        <v>54363.12</v>
      </c>
      <c r="BA165" s="93"/>
      <c r="BB165" s="93"/>
      <c r="BC165" s="99"/>
      <c r="BD165" s="93">
        <v>127285.2</v>
      </c>
      <c r="BE165" s="93"/>
      <c r="BF165" s="93"/>
      <c r="BG165" s="93">
        <v>115000</v>
      </c>
      <c r="BH165" s="93"/>
      <c r="BI165" s="93">
        <f>142595.38+50</f>
        <v>142645.38</v>
      </c>
      <c r="BJ165" s="93"/>
      <c r="BK165" s="93">
        <v>140000</v>
      </c>
      <c r="BL165" s="93"/>
      <c r="BM165" s="101">
        <f t="shared" si="151"/>
        <v>25000</v>
      </c>
      <c r="BN165" s="101"/>
      <c r="BO165" s="93">
        <v>69768.78</v>
      </c>
      <c r="BP165" s="93"/>
      <c r="BQ165" s="102">
        <v>131582.6</v>
      </c>
      <c r="BR165" s="102"/>
      <c r="BS165" s="102">
        <f t="shared" si="128"/>
        <v>-8417.3999999999942</v>
      </c>
      <c r="BT165" s="101"/>
      <c r="BU165" s="93">
        <v>140000</v>
      </c>
      <c r="BV165" s="101"/>
      <c r="BW165" s="101">
        <f t="shared" si="145"/>
        <v>0</v>
      </c>
      <c r="BX165" s="58"/>
      <c r="BY165" s="231" t="s">
        <v>297</v>
      </c>
      <c r="BZ165" s="102">
        <v>138223.46</v>
      </c>
      <c r="CA165" s="109"/>
      <c r="CB165" s="104">
        <v>145000</v>
      </c>
      <c r="CC165" s="104"/>
      <c r="CD165" s="104">
        <v>72570.539999999994</v>
      </c>
      <c r="CE165" s="104"/>
      <c r="CF165" s="104">
        <v>130500</v>
      </c>
      <c r="CG165" s="107"/>
      <c r="CH165" s="103">
        <f t="shared" si="152"/>
        <v>-14500</v>
      </c>
      <c r="CI165" s="129"/>
      <c r="CJ165" s="320" t="s">
        <v>312</v>
      </c>
      <c r="CK165" s="346">
        <f t="shared" si="138"/>
        <v>10875</v>
      </c>
    </row>
    <row r="166" spans="1:89" ht="15" customHeight="1" thickBot="1" x14ac:dyDescent="0.25">
      <c r="A166" s="4"/>
      <c r="B166" s="27"/>
      <c r="C166" s="28" t="s">
        <v>128</v>
      </c>
      <c r="D166" s="28"/>
      <c r="E166" s="29"/>
      <c r="F166" s="28"/>
      <c r="G166" s="30">
        <f>ROUND(SUM(G163:G165),5)</f>
        <v>9015.1</v>
      </c>
      <c r="H166" s="31"/>
      <c r="I166" s="30">
        <f>ROUND(SUM(I163:I165),5)</f>
        <v>25416.74</v>
      </c>
      <c r="J166" s="31"/>
      <c r="K166" s="30">
        <f>ROUND((G166-I166),5)</f>
        <v>-16401.64</v>
      </c>
      <c r="L166" s="31"/>
      <c r="M166" s="32">
        <f>ROUND(IF(I166=0, IF(G166=0, 0, 1), G166/I166),5)</f>
        <v>0.35469000000000001</v>
      </c>
      <c r="N166" s="31"/>
      <c r="O166" s="30">
        <f>ROUND(SUM(O163:O165),5)</f>
        <v>31397.07</v>
      </c>
      <c r="P166" s="31"/>
      <c r="Q166" s="30">
        <f>ROUND(SUM(Q163:Q165),5)</f>
        <v>25416.66</v>
      </c>
      <c r="R166" s="31"/>
      <c r="S166" s="30">
        <f>ROUND((O166-Q166),5)</f>
        <v>5980.41</v>
      </c>
      <c r="T166" s="31"/>
      <c r="U166" s="32">
        <f>ROUND(IF(Q166=0, IF(O166=0, 0, 1), O166/Q166),5)</f>
        <v>1.23529</v>
      </c>
      <c r="V166" s="31"/>
      <c r="W166" s="76">
        <f>SUM(W164:W165)</f>
        <v>25575.93</v>
      </c>
      <c r="X166" s="76"/>
      <c r="Y166" s="76">
        <f>SUM(Y164:Y165)</f>
        <v>25416.66</v>
      </c>
      <c r="Z166" s="76"/>
      <c r="AA166" s="76">
        <f>ROUND((W166-Y166),5)</f>
        <v>159.27000000000001</v>
      </c>
      <c r="AB166" s="76"/>
      <c r="AC166" s="76"/>
      <c r="AD166" s="194">
        <f>AD164+AD165</f>
        <v>349000</v>
      </c>
      <c r="AE166" s="194"/>
      <c r="AF166" s="195">
        <f>AF164+AF165</f>
        <v>331397.53000000003</v>
      </c>
      <c r="AG166" s="81"/>
      <c r="AH166" s="230">
        <f>AH164+AH165</f>
        <v>335000</v>
      </c>
      <c r="AI166" s="230"/>
      <c r="AJ166" s="41">
        <v>269606.64</v>
      </c>
      <c r="AK166" s="230"/>
      <c r="AL166" s="41">
        <f>SUM(AL164:AL165)</f>
        <v>305000</v>
      </c>
      <c r="AM166" s="41"/>
      <c r="AN166" s="41">
        <f>AN164+AN165</f>
        <v>279859.24</v>
      </c>
      <c r="AO166" s="41"/>
      <c r="AP166" s="41">
        <f>SUM(AP164:AP165)</f>
        <v>117556.5</v>
      </c>
      <c r="AQ166" s="41"/>
      <c r="AR166" s="41">
        <f>SUM(AR164:AR165)</f>
        <v>76250.06</v>
      </c>
      <c r="AS166" s="41">
        <f t="shared" si="150"/>
        <v>235113</v>
      </c>
      <c r="AT166" s="41"/>
      <c r="AU166" s="42"/>
      <c r="AV166" s="79">
        <f>AV164+AV165</f>
        <v>305000</v>
      </c>
      <c r="AW166" s="80"/>
      <c r="AX166" s="81">
        <f t="shared" si="147"/>
        <v>-25140.760000000009</v>
      </c>
      <c r="AY166" s="81"/>
      <c r="AZ166" s="79">
        <f>AZ164+AZ165</f>
        <v>136320.67000000001</v>
      </c>
      <c r="BA166" s="79"/>
      <c r="BB166" s="79"/>
      <c r="BC166" s="83"/>
      <c r="BD166" s="79">
        <f>SUM(BD164:BD165)</f>
        <v>316898.01</v>
      </c>
      <c r="BE166" s="79"/>
      <c r="BF166" s="79"/>
      <c r="BG166" s="79">
        <f>SUM(BG164:BG165)</f>
        <v>305000</v>
      </c>
      <c r="BH166" s="79"/>
      <c r="BI166" s="79">
        <f>SUM(BI164:BI165)</f>
        <v>346794.97</v>
      </c>
      <c r="BJ166" s="79"/>
      <c r="BK166" s="79">
        <f>BK164+BK165</f>
        <v>325000</v>
      </c>
      <c r="BL166" s="79"/>
      <c r="BM166" s="84">
        <f t="shared" si="151"/>
        <v>20000</v>
      </c>
      <c r="BN166" s="84"/>
      <c r="BO166" s="79">
        <f>BO164+BO165</f>
        <v>152387.31</v>
      </c>
      <c r="BP166" s="79"/>
      <c r="BQ166" s="85">
        <f>SUM(BQ164:BQ165)</f>
        <v>310125.75</v>
      </c>
      <c r="BR166" s="85"/>
      <c r="BS166" s="85">
        <f t="shared" si="128"/>
        <v>-14874.25</v>
      </c>
      <c r="BT166" s="84"/>
      <c r="BU166" s="79">
        <f>SUM(BU164:BU165)</f>
        <v>330000</v>
      </c>
      <c r="BV166" s="84"/>
      <c r="BW166" s="84">
        <f t="shared" si="145"/>
        <v>5000</v>
      </c>
      <c r="BX166" s="58"/>
      <c r="BY166" s="91"/>
      <c r="BZ166" s="83">
        <f>SUM(BZ164:BZ165)</f>
        <v>359093.55</v>
      </c>
      <c r="CA166" s="83"/>
      <c r="CB166" s="213">
        <f>SUM(CB164:CB165)</f>
        <v>335000</v>
      </c>
      <c r="CC166" s="213"/>
      <c r="CD166" s="213">
        <f>SUM(CD164:CD165)</f>
        <v>177610.41999999998</v>
      </c>
      <c r="CE166" s="213"/>
      <c r="CF166" s="213">
        <f>SUM(CF164:CF165)</f>
        <v>305300</v>
      </c>
      <c r="CG166" s="198"/>
      <c r="CH166" s="199">
        <f>CB166-BU166</f>
        <v>5000</v>
      </c>
      <c r="CI166" s="199"/>
      <c r="CJ166" s="311"/>
      <c r="CK166" s="346">
        <f t="shared" si="138"/>
        <v>25441.666666666668</v>
      </c>
    </row>
    <row r="167" spans="1:89" ht="14.25" customHeight="1" x14ac:dyDescent="0.2">
      <c r="A167" s="4"/>
      <c r="B167" s="27"/>
      <c r="C167" s="28" t="s">
        <v>158</v>
      </c>
      <c r="D167" s="28"/>
      <c r="E167" s="29"/>
      <c r="F167" s="28"/>
      <c r="G167" s="30">
        <v>0</v>
      </c>
      <c r="H167" s="31"/>
      <c r="I167" s="30">
        <v>250</v>
      </c>
      <c r="J167" s="31"/>
      <c r="K167" s="30">
        <f>ROUND((G167-I167),5)</f>
        <v>-250</v>
      </c>
      <c r="L167" s="31"/>
      <c r="M167" s="32">
        <f>ROUND(IF(I167=0, IF(G167=0, 0, 1), G167/I167),5)</f>
        <v>0</v>
      </c>
      <c r="N167" s="31"/>
      <c r="O167" s="30">
        <v>0</v>
      </c>
      <c r="P167" s="31"/>
      <c r="Q167" s="30">
        <v>250</v>
      </c>
      <c r="R167" s="31"/>
      <c r="S167" s="30">
        <f>ROUND((O167-Q167),5)</f>
        <v>-250</v>
      </c>
      <c r="T167" s="31"/>
      <c r="U167" s="32">
        <f>ROUND(IF(Q167=0, IF(O167=0, 0, 1), O167/Q167),5)</f>
        <v>0</v>
      </c>
      <c r="V167" s="31"/>
      <c r="W167" s="33">
        <v>0</v>
      </c>
      <c r="X167" s="33"/>
      <c r="Y167" s="33">
        <v>250</v>
      </c>
      <c r="Z167" s="33"/>
      <c r="AA167" s="33">
        <f>ROUND((W167-Y167),5)</f>
        <v>-250</v>
      </c>
      <c r="AB167" s="33"/>
      <c r="AC167" s="33"/>
      <c r="AD167" s="34">
        <v>0</v>
      </c>
      <c r="AE167" s="34"/>
      <c r="AF167" s="49"/>
      <c r="AG167" s="50"/>
      <c r="AH167" s="51">
        <v>0</v>
      </c>
      <c r="AI167" s="51"/>
      <c r="AJ167" s="51">
        <v>2409.5</v>
      </c>
      <c r="AK167" s="51"/>
      <c r="AL167" s="51">
        <v>3000</v>
      </c>
      <c r="AM167" s="51"/>
      <c r="AN167" s="51">
        <v>708.46</v>
      </c>
      <c r="AO167" s="51"/>
      <c r="AP167" s="51">
        <f>ROUND(G167+O167+W167,5)</f>
        <v>0</v>
      </c>
      <c r="AQ167" s="51"/>
      <c r="AR167" s="51">
        <f>ROUND(I167+Q167+Y167,5)</f>
        <v>750</v>
      </c>
      <c r="AS167" s="51">
        <f t="shared" si="150"/>
        <v>0</v>
      </c>
      <c r="AT167" s="51"/>
      <c r="AU167" s="65"/>
      <c r="AV167" s="54">
        <v>3000</v>
      </c>
      <c r="AW167" s="55"/>
      <c r="AX167" s="232">
        <f t="shared" si="147"/>
        <v>-2291.54</v>
      </c>
      <c r="AY167" s="232"/>
      <c r="AZ167" s="54">
        <v>180.64699999999999</v>
      </c>
      <c r="BA167" s="54"/>
      <c r="BB167" s="54"/>
      <c r="BC167" s="60"/>
      <c r="BD167" s="54">
        <v>2333.67</v>
      </c>
      <c r="BE167" s="54"/>
      <c r="BF167" s="54"/>
      <c r="BG167" s="54">
        <v>3000</v>
      </c>
      <c r="BH167" s="54"/>
      <c r="BI167" s="54">
        <v>3047.87</v>
      </c>
      <c r="BJ167" s="54"/>
      <c r="BK167" s="54">
        <v>5000</v>
      </c>
      <c r="BL167" s="54"/>
      <c r="BM167" s="58">
        <f t="shared" si="151"/>
        <v>2000</v>
      </c>
      <c r="BN167" s="58"/>
      <c r="BO167" s="54">
        <v>4228.84</v>
      </c>
      <c r="BP167" s="54"/>
      <c r="BQ167" s="66">
        <v>4633.34</v>
      </c>
      <c r="BR167" s="66"/>
      <c r="BS167" s="66">
        <f t="shared" si="128"/>
        <v>-366.65999999999985</v>
      </c>
      <c r="BT167" s="58"/>
      <c r="BU167" s="54">
        <v>5000</v>
      </c>
      <c r="BV167" s="58"/>
      <c r="BW167" s="58">
        <f t="shared" si="145"/>
        <v>0</v>
      </c>
      <c r="BX167" s="58"/>
      <c r="BY167" s="216" t="s">
        <v>298</v>
      </c>
      <c r="BZ167" s="115">
        <v>2027.7</v>
      </c>
      <c r="CA167" s="115"/>
      <c r="CB167" s="226">
        <v>5000</v>
      </c>
      <c r="CC167" s="226"/>
      <c r="CD167" s="226">
        <v>3068.2</v>
      </c>
      <c r="CE167" s="226"/>
      <c r="CF167" s="226">
        <v>4000</v>
      </c>
      <c r="CG167" s="227"/>
      <c r="CH167" s="61">
        <f t="shared" ref="CH167:CH177" si="153">CF167-CB167</f>
        <v>-1000</v>
      </c>
      <c r="CI167" s="200"/>
      <c r="CJ167" s="313" t="s">
        <v>299</v>
      </c>
      <c r="CK167" s="346">
        <f t="shared" si="138"/>
        <v>333.33333333333331</v>
      </c>
    </row>
    <row r="168" spans="1:89" ht="14.25" customHeight="1" x14ac:dyDescent="0.2">
      <c r="A168" s="4"/>
      <c r="B168" s="27"/>
      <c r="C168" s="28" t="s">
        <v>129</v>
      </c>
      <c r="D168" s="28"/>
      <c r="E168" s="29"/>
      <c r="F168" s="28"/>
      <c r="G168" s="30"/>
      <c r="H168" s="31"/>
      <c r="I168" s="30"/>
      <c r="J168" s="31"/>
      <c r="K168" s="30"/>
      <c r="L168" s="31"/>
      <c r="M168" s="32"/>
      <c r="N168" s="31"/>
      <c r="O168" s="30"/>
      <c r="P168" s="31"/>
      <c r="Q168" s="30"/>
      <c r="R168" s="31"/>
      <c r="S168" s="30"/>
      <c r="T168" s="31"/>
      <c r="U168" s="32"/>
      <c r="V168" s="31"/>
      <c r="W168" s="33"/>
      <c r="X168" s="33"/>
      <c r="Y168" s="33"/>
      <c r="Z168" s="33"/>
      <c r="AA168" s="33"/>
      <c r="AB168" s="33"/>
      <c r="AC168" s="33"/>
      <c r="AD168" s="34">
        <v>0</v>
      </c>
      <c r="AE168" s="34"/>
      <c r="AF168" s="49">
        <v>0</v>
      </c>
      <c r="AG168" s="50"/>
      <c r="AH168" s="51">
        <v>0</v>
      </c>
      <c r="AI168" s="51"/>
      <c r="AJ168" s="51">
        <v>0</v>
      </c>
      <c r="AK168" s="51"/>
      <c r="AL168" s="51">
        <v>10000</v>
      </c>
      <c r="AM168" s="51"/>
      <c r="AN168" s="51">
        <v>0</v>
      </c>
      <c r="AO168" s="51"/>
      <c r="AP168" s="51"/>
      <c r="AQ168" s="51"/>
      <c r="AR168" s="51"/>
      <c r="AS168" s="51">
        <f t="shared" si="150"/>
        <v>0</v>
      </c>
      <c r="AT168" s="51"/>
      <c r="AU168" s="65"/>
      <c r="AV168" s="54">
        <v>10000</v>
      </c>
      <c r="AW168" s="55"/>
      <c r="AX168" s="56">
        <f t="shared" si="147"/>
        <v>-10000</v>
      </c>
      <c r="AY168" s="56"/>
      <c r="AZ168" s="54">
        <v>0</v>
      </c>
      <c r="BA168" s="54"/>
      <c r="BB168" s="54"/>
      <c r="BC168" s="60"/>
      <c r="BD168" s="54">
        <f t="shared" ref="BD168:BD173" si="154">AZ168*2</f>
        <v>0</v>
      </c>
      <c r="BE168" s="54"/>
      <c r="BF168" s="54"/>
      <c r="BG168" s="54">
        <v>10000</v>
      </c>
      <c r="BH168" s="54"/>
      <c r="BI168" s="54"/>
      <c r="BJ168" s="54"/>
      <c r="BK168" s="54">
        <v>0</v>
      </c>
      <c r="BL168" s="54"/>
      <c r="BM168" s="58">
        <f t="shared" si="151"/>
        <v>-10000</v>
      </c>
      <c r="BN168" s="58"/>
      <c r="BO168" s="54"/>
      <c r="BP168" s="54"/>
      <c r="BQ168" s="66">
        <f t="shared" si="132"/>
        <v>0</v>
      </c>
      <c r="BR168" s="66"/>
      <c r="BS168" s="66">
        <f t="shared" si="128"/>
        <v>0</v>
      </c>
      <c r="BT168" s="58"/>
      <c r="BU168" s="54"/>
      <c r="BV168" s="58"/>
      <c r="BW168" s="58">
        <f t="shared" si="145"/>
        <v>0</v>
      </c>
      <c r="BX168" s="58"/>
      <c r="BY168" s="91"/>
      <c r="BZ168" s="115">
        <f t="shared" ref="BZ168:BZ173" si="155">BX168*2</f>
        <v>0</v>
      </c>
      <c r="CA168" s="115"/>
      <c r="CB168" s="226">
        <v>48000</v>
      </c>
      <c r="CC168" s="226"/>
      <c r="CD168" s="226"/>
      <c r="CE168" s="226"/>
      <c r="CF168" s="226">
        <v>48000</v>
      </c>
      <c r="CG168" s="227"/>
      <c r="CH168" s="61">
        <f t="shared" si="153"/>
        <v>0</v>
      </c>
      <c r="CI168" s="200"/>
      <c r="CJ168" s="321" t="s">
        <v>224</v>
      </c>
      <c r="CK168" s="346">
        <f t="shared" si="138"/>
        <v>4000</v>
      </c>
    </row>
    <row r="169" spans="1:89" ht="20.25" hidden="1" customHeight="1" x14ac:dyDescent="0.2">
      <c r="A169" s="4"/>
      <c r="B169" s="27"/>
      <c r="C169" s="28"/>
      <c r="D169" s="63"/>
      <c r="E169" s="29"/>
      <c r="F169" s="28"/>
      <c r="G169" s="30"/>
      <c r="H169" s="31"/>
      <c r="I169" s="30"/>
      <c r="J169" s="31"/>
      <c r="K169" s="30"/>
      <c r="L169" s="31"/>
      <c r="M169" s="32"/>
      <c r="N169" s="31"/>
      <c r="O169" s="30"/>
      <c r="P169" s="31"/>
      <c r="Q169" s="30"/>
      <c r="R169" s="31"/>
      <c r="S169" s="30"/>
      <c r="T169" s="31"/>
      <c r="U169" s="32"/>
      <c r="V169" s="31"/>
      <c r="W169" s="33"/>
      <c r="X169" s="33"/>
      <c r="Y169" s="33"/>
      <c r="Z169" s="33"/>
      <c r="AA169" s="33"/>
      <c r="AB169" s="33"/>
      <c r="AC169" s="33"/>
      <c r="AD169" s="34">
        <v>30000</v>
      </c>
      <c r="AE169" s="34"/>
      <c r="AF169" s="49"/>
      <c r="AG169" s="50"/>
      <c r="AH169" s="51"/>
      <c r="AI169" s="51"/>
      <c r="AJ169" s="51"/>
      <c r="AK169" s="51"/>
      <c r="AL169" s="51"/>
      <c r="AM169" s="51"/>
      <c r="AN169" s="51"/>
      <c r="AO169" s="51"/>
      <c r="AP169" s="51"/>
      <c r="AQ169" s="51"/>
      <c r="AR169" s="51"/>
      <c r="AS169" s="51">
        <f t="shared" si="150"/>
        <v>0</v>
      </c>
      <c r="AT169" s="51"/>
      <c r="AU169" s="65"/>
      <c r="AV169" s="54"/>
      <c r="AW169" s="55"/>
      <c r="AX169" s="56">
        <f t="shared" si="147"/>
        <v>0</v>
      </c>
      <c r="AY169" s="56"/>
      <c r="AZ169" s="54"/>
      <c r="BA169" s="54"/>
      <c r="BB169" s="54"/>
      <c r="BC169" s="60"/>
      <c r="BD169" s="54">
        <f t="shared" si="154"/>
        <v>0</v>
      </c>
      <c r="BE169" s="54"/>
      <c r="BF169" s="54"/>
      <c r="BG169" s="54"/>
      <c r="BH169" s="54"/>
      <c r="BI169" s="54"/>
      <c r="BJ169" s="54"/>
      <c r="BK169" s="54"/>
      <c r="BL169" s="54"/>
      <c r="BM169" s="58">
        <f t="shared" si="151"/>
        <v>0</v>
      </c>
      <c r="BN169" s="58"/>
      <c r="BO169" s="54"/>
      <c r="BP169" s="54"/>
      <c r="BQ169" s="66">
        <f t="shared" si="132"/>
        <v>0</v>
      </c>
      <c r="BR169" s="66"/>
      <c r="BS169" s="66">
        <f t="shared" si="128"/>
        <v>0</v>
      </c>
      <c r="BT169" s="58"/>
      <c r="BU169" s="54">
        <f>BM169-BI169</f>
        <v>0</v>
      </c>
      <c r="BV169" s="58"/>
      <c r="BW169" s="58">
        <f t="shared" si="145"/>
        <v>0</v>
      </c>
      <c r="BX169" s="58"/>
      <c r="BY169" s="91"/>
      <c r="BZ169" s="115">
        <f t="shared" si="155"/>
        <v>0</v>
      </c>
      <c r="CA169" s="115"/>
      <c r="CB169" s="226">
        <v>15000</v>
      </c>
      <c r="CC169" s="226"/>
      <c r="CD169" s="226"/>
      <c r="CE169" s="226"/>
      <c r="CF169" s="226">
        <v>15000</v>
      </c>
      <c r="CG169" s="227"/>
      <c r="CH169" s="61">
        <f t="shared" si="153"/>
        <v>0</v>
      </c>
      <c r="CI169" s="200"/>
      <c r="CJ169" s="321" t="s">
        <v>225</v>
      </c>
      <c r="CK169" s="346">
        <f t="shared" si="138"/>
        <v>1250</v>
      </c>
    </row>
    <row r="170" spans="1:89" ht="20.25" hidden="1" customHeight="1" x14ac:dyDescent="0.2">
      <c r="A170" s="4"/>
      <c r="B170" s="27"/>
      <c r="C170" s="28"/>
      <c r="D170" s="28"/>
      <c r="E170" s="29" t="s">
        <v>131</v>
      </c>
      <c r="F170" s="28"/>
      <c r="G170" s="30">
        <v>0</v>
      </c>
      <c r="H170" s="31"/>
      <c r="I170" s="30">
        <v>208.37</v>
      </c>
      <c r="J170" s="31"/>
      <c r="K170" s="30">
        <f>ROUND((G170-I170),5)</f>
        <v>-208.37</v>
      </c>
      <c r="L170" s="31"/>
      <c r="M170" s="32">
        <f>ROUND(IF(I170=0, IF(G170=0, 0, 1), G170/I170),5)</f>
        <v>0</v>
      </c>
      <c r="N170" s="31"/>
      <c r="O170" s="30">
        <v>0</v>
      </c>
      <c r="P170" s="31"/>
      <c r="Q170" s="30">
        <v>208.33</v>
      </c>
      <c r="R170" s="31"/>
      <c r="S170" s="30">
        <f>ROUND((O170-Q170),5)</f>
        <v>-208.33</v>
      </c>
      <c r="T170" s="31"/>
      <c r="U170" s="32">
        <f>ROUND(IF(Q170=0, IF(O170=0, 0, 1), O170/Q170),5)</f>
        <v>0</v>
      </c>
      <c r="V170" s="31"/>
      <c r="W170" s="33">
        <v>0</v>
      </c>
      <c r="X170" s="33"/>
      <c r="Y170" s="33">
        <v>208.33</v>
      </c>
      <c r="Z170" s="33"/>
      <c r="AA170" s="33">
        <f>ROUND((W170-Y170),5)</f>
        <v>-208.33</v>
      </c>
      <c r="AB170" s="33"/>
      <c r="AC170" s="33"/>
      <c r="AD170" s="34"/>
      <c r="AE170" s="34"/>
      <c r="AF170" s="49"/>
      <c r="AG170" s="50"/>
      <c r="AH170" s="51"/>
      <c r="AI170" s="51"/>
      <c r="AJ170" s="51"/>
      <c r="AK170" s="51"/>
      <c r="AL170" s="51">
        <v>2500</v>
      </c>
      <c r="AM170" s="51"/>
      <c r="AN170" s="51">
        <f>AP170*4</f>
        <v>0</v>
      </c>
      <c r="AO170" s="51"/>
      <c r="AP170" s="51">
        <f>ROUND(G170+O170+W170,5)</f>
        <v>0</v>
      </c>
      <c r="AQ170" s="51"/>
      <c r="AR170" s="51">
        <f>ROUND(I170+Q170+Y170,5)</f>
        <v>625.03</v>
      </c>
      <c r="AS170" s="51">
        <f t="shared" si="150"/>
        <v>0</v>
      </c>
      <c r="AT170" s="51"/>
      <c r="AU170" s="65"/>
      <c r="AV170" s="54"/>
      <c r="AW170" s="55"/>
      <c r="AX170" s="56">
        <f t="shared" si="147"/>
        <v>-2500</v>
      </c>
      <c r="AY170" s="56"/>
      <c r="AZ170" s="54"/>
      <c r="BA170" s="54"/>
      <c r="BB170" s="54"/>
      <c r="BC170" s="60"/>
      <c r="BD170" s="54">
        <f t="shared" si="154"/>
        <v>0</v>
      </c>
      <c r="BE170" s="54"/>
      <c r="BF170" s="54"/>
      <c r="BG170" s="54"/>
      <c r="BH170" s="54"/>
      <c r="BI170" s="54"/>
      <c r="BJ170" s="54"/>
      <c r="BK170" s="54"/>
      <c r="BL170" s="54"/>
      <c r="BM170" s="58">
        <f t="shared" si="151"/>
        <v>0</v>
      </c>
      <c r="BN170" s="58"/>
      <c r="BO170" s="54"/>
      <c r="BP170" s="54"/>
      <c r="BQ170" s="66">
        <f t="shared" si="132"/>
        <v>0</v>
      </c>
      <c r="BR170" s="66"/>
      <c r="BS170" s="66">
        <f t="shared" si="128"/>
        <v>0</v>
      </c>
      <c r="BT170" s="58"/>
      <c r="BU170" s="54">
        <f>BM170-BI170</f>
        <v>0</v>
      </c>
      <c r="BV170" s="58"/>
      <c r="BW170" s="58">
        <f t="shared" si="145"/>
        <v>0</v>
      </c>
      <c r="BX170" s="58"/>
      <c r="BY170" s="91"/>
      <c r="BZ170" s="115">
        <f t="shared" si="155"/>
        <v>0</v>
      </c>
      <c r="CA170" s="115"/>
      <c r="CB170" s="226">
        <v>33000</v>
      </c>
      <c r="CC170" s="226"/>
      <c r="CD170" s="226"/>
      <c r="CE170" s="226"/>
      <c r="CF170" s="226">
        <v>33000</v>
      </c>
      <c r="CG170" s="227"/>
      <c r="CH170" s="61">
        <f t="shared" si="153"/>
        <v>0</v>
      </c>
      <c r="CI170" s="200"/>
      <c r="CJ170" s="321" t="s">
        <v>226</v>
      </c>
      <c r="CK170" s="346">
        <f t="shared" si="138"/>
        <v>2750</v>
      </c>
    </row>
    <row r="171" spans="1:89" ht="20.25" hidden="1" customHeight="1" x14ac:dyDescent="0.2">
      <c r="A171" s="4"/>
      <c r="B171" s="27"/>
      <c r="C171" s="28"/>
      <c r="D171" s="28"/>
      <c r="E171" s="29" t="s">
        <v>132</v>
      </c>
      <c r="F171" s="28"/>
      <c r="G171" s="30">
        <v>659.05</v>
      </c>
      <c r="H171" s="31"/>
      <c r="I171" s="30">
        <v>125</v>
      </c>
      <c r="J171" s="31"/>
      <c r="K171" s="30">
        <f>ROUND((G171-I171),5)</f>
        <v>534.04999999999995</v>
      </c>
      <c r="L171" s="31"/>
      <c r="M171" s="32">
        <f>ROUND(IF(I171=0, IF(G171=0, 0, 1), G171/I171),5)</f>
        <v>5.2724000000000002</v>
      </c>
      <c r="N171" s="31"/>
      <c r="O171" s="30">
        <v>0</v>
      </c>
      <c r="P171" s="31"/>
      <c r="Q171" s="30">
        <v>125</v>
      </c>
      <c r="R171" s="31"/>
      <c r="S171" s="30">
        <f>ROUND((O171-Q171),5)</f>
        <v>-125</v>
      </c>
      <c r="T171" s="31"/>
      <c r="U171" s="32">
        <f>ROUND(IF(Q171=0, IF(O171=0, 0, 1), O171/Q171),5)</f>
        <v>0</v>
      </c>
      <c r="V171" s="31"/>
      <c r="W171" s="33">
        <v>53.79</v>
      </c>
      <c r="X171" s="33"/>
      <c r="Y171" s="33">
        <v>0</v>
      </c>
      <c r="Z171" s="33"/>
      <c r="AA171" s="33">
        <f>ROUND((W171-Y171),5)</f>
        <v>53.79</v>
      </c>
      <c r="AB171" s="33"/>
      <c r="AC171" s="33"/>
      <c r="AD171" s="34"/>
      <c r="AE171" s="34"/>
      <c r="AF171" s="49"/>
      <c r="AG171" s="50"/>
      <c r="AH171" s="51"/>
      <c r="AI171" s="51"/>
      <c r="AJ171" s="51"/>
      <c r="AK171" s="51"/>
      <c r="AL171" s="51">
        <v>500</v>
      </c>
      <c r="AM171" s="51"/>
      <c r="AN171" s="51">
        <f>AP171*4</f>
        <v>2851.36</v>
      </c>
      <c r="AO171" s="51"/>
      <c r="AP171" s="51">
        <f>ROUND(G171+O171+W171,5)</f>
        <v>712.84</v>
      </c>
      <c r="AQ171" s="51"/>
      <c r="AR171" s="51">
        <f>ROUND(I171+Q171+Y171,5)</f>
        <v>250</v>
      </c>
      <c r="AS171" s="51">
        <f t="shared" si="150"/>
        <v>1425.68</v>
      </c>
      <c r="AT171" s="51"/>
      <c r="AU171" s="65"/>
      <c r="AV171" s="54"/>
      <c r="AW171" s="55"/>
      <c r="AX171" s="56">
        <f t="shared" si="147"/>
        <v>2351.36</v>
      </c>
      <c r="AY171" s="56"/>
      <c r="AZ171" s="54"/>
      <c r="BA171" s="54"/>
      <c r="BB171" s="54"/>
      <c r="BC171" s="60"/>
      <c r="BD171" s="54">
        <f t="shared" si="154"/>
        <v>0</v>
      </c>
      <c r="BE171" s="54"/>
      <c r="BF171" s="54"/>
      <c r="BG171" s="54"/>
      <c r="BH171" s="54"/>
      <c r="BI171" s="54"/>
      <c r="BJ171" s="54"/>
      <c r="BK171" s="54"/>
      <c r="BL171" s="54"/>
      <c r="BM171" s="58">
        <f t="shared" si="151"/>
        <v>0</v>
      </c>
      <c r="BN171" s="58"/>
      <c r="BO171" s="54"/>
      <c r="BP171" s="54"/>
      <c r="BQ171" s="66">
        <f t="shared" si="132"/>
        <v>0</v>
      </c>
      <c r="BR171" s="66"/>
      <c r="BS171" s="66">
        <f t="shared" si="128"/>
        <v>0</v>
      </c>
      <c r="BT171" s="58"/>
      <c r="BU171" s="54">
        <f>BM171-BI171</f>
        <v>0</v>
      </c>
      <c r="BV171" s="58"/>
      <c r="BW171" s="58">
        <f t="shared" si="145"/>
        <v>0</v>
      </c>
      <c r="BX171" s="58"/>
      <c r="BY171" s="91"/>
      <c r="BZ171" s="115">
        <f t="shared" si="155"/>
        <v>0</v>
      </c>
      <c r="CA171" s="115"/>
      <c r="CB171" s="54">
        <f t="shared" ref="CB171:CB173" si="156">BS171-BO171</f>
        <v>0</v>
      </c>
      <c r="CC171" s="54"/>
      <c r="CD171" s="54"/>
      <c r="CE171" s="54"/>
      <c r="CF171" s="54">
        <f>BU171-BQ171</f>
        <v>0</v>
      </c>
      <c r="CG171" s="60"/>
      <c r="CH171" s="61">
        <f t="shared" si="153"/>
        <v>0</v>
      </c>
      <c r="CI171" s="200"/>
      <c r="CJ171" s="301"/>
      <c r="CK171" s="346">
        <f t="shared" si="138"/>
        <v>0</v>
      </c>
    </row>
    <row r="172" spans="1:89" ht="20.25" hidden="1" customHeight="1" x14ac:dyDescent="0.2">
      <c r="A172" s="4"/>
      <c r="B172" s="27"/>
      <c r="C172" s="28"/>
      <c r="D172" s="28"/>
      <c r="E172" s="29" t="s">
        <v>149</v>
      </c>
      <c r="F172" s="28"/>
      <c r="G172" s="30"/>
      <c r="H172" s="31"/>
      <c r="I172" s="30"/>
      <c r="J172" s="31"/>
      <c r="K172" s="30"/>
      <c r="L172" s="31"/>
      <c r="M172" s="32"/>
      <c r="N172" s="31"/>
      <c r="O172" s="30"/>
      <c r="P172" s="31"/>
      <c r="Q172" s="30"/>
      <c r="R172" s="31"/>
      <c r="S172" s="30"/>
      <c r="T172" s="31"/>
      <c r="U172" s="32"/>
      <c r="V172" s="31"/>
      <c r="W172" s="33">
        <v>0</v>
      </c>
      <c r="X172" s="33"/>
      <c r="Y172" s="33">
        <v>0</v>
      </c>
      <c r="Z172" s="33"/>
      <c r="AA172" s="33"/>
      <c r="AB172" s="33"/>
      <c r="AC172" s="33"/>
      <c r="AD172" s="34"/>
      <c r="AE172" s="34"/>
      <c r="AF172" s="49"/>
      <c r="AG172" s="50"/>
      <c r="AH172" s="51"/>
      <c r="AI172" s="51"/>
      <c r="AJ172" s="51"/>
      <c r="AK172" s="51"/>
      <c r="AL172" s="51">
        <v>4000</v>
      </c>
      <c r="AM172" s="51"/>
      <c r="AN172" s="51">
        <f>AP172*4</f>
        <v>0</v>
      </c>
      <c r="AO172" s="51"/>
      <c r="AP172" s="51">
        <v>0</v>
      </c>
      <c r="AQ172" s="51"/>
      <c r="AR172" s="51">
        <v>0</v>
      </c>
      <c r="AS172" s="51">
        <f t="shared" si="150"/>
        <v>0</v>
      </c>
      <c r="AT172" s="51"/>
      <c r="AU172" s="65"/>
      <c r="AV172" s="54"/>
      <c r="AW172" s="55"/>
      <c r="AX172" s="56">
        <f t="shared" si="147"/>
        <v>-4000</v>
      </c>
      <c r="AY172" s="56"/>
      <c r="AZ172" s="54"/>
      <c r="BA172" s="54"/>
      <c r="BB172" s="54"/>
      <c r="BC172" s="60"/>
      <c r="BD172" s="54">
        <f t="shared" si="154"/>
        <v>0</v>
      </c>
      <c r="BE172" s="54"/>
      <c r="BF172" s="54"/>
      <c r="BG172" s="54"/>
      <c r="BH172" s="54"/>
      <c r="BI172" s="54"/>
      <c r="BJ172" s="54"/>
      <c r="BK172" s="54"/>
      <c r="BL172" s="54"/>
      <c r="BM172" s="58">
        <f t="shared" si="151"/>
        <v>0</v>
      </c>
      <c r="BN172" s="58"/>
      <c r="BO172" s="54"/>
      <c r="BP172" s="54"/>
      <c r="BQ172" s="66">
        <f t="shared" si="132"/>
        <v>0</v>
      </c>
      <c r="BR172" s="66"/>
      <c r="BS172" s="66">
        <f t="shared" si="128"/>
        <v>0</v>
      </c>
      <c r="BT172" s="58"/>
      <c r="BU172" s="54">
        <f>BM172-BI172</f>
        <v>0</v>
      </c>
      <c r="BV172" s="58"/>
      <c r="BW172" s="58">
        <f t="shared" si="145"/>
        <v>0</v>
      </c>
      <c r="BX172" s="58"/>
      <c r="BY172" s="91"/>
      <c r="BZ172" s="115">
        <f t="shared" si="155"/>
        <v>0</v>
      </c>
      <c r="CA172" s="115"/>
      <c r="CB172" s="54">
        <f t="shared" si="156"/>
        <v>0</v>
      </c>
      <c r="CC172" s="54"/>
      <c r="CD172" s="54"/>
      <c r="CE172" s="54"/>
      <c r="CF172" s="54">
        <f>BU172-BQ172</f>
        <v>0</v>
      </c>
      <c r="CG172" s="60"/>
      <c r="CH172" s="61">
        <f t="shared" si="153"/>
        <v>0</v>
      </c>
      <c r="CI172" s="200"/>
      <c r="CJ172" s="301"/>
      <c r="CK172" s="346">
        <f t="shared" si="138"/>
        <v>0</v>
      </c>
    </row>
    <row r="173" spans="1:89" ht="20.25" hidden="1" customHeight="1" x14ac:dyDescent="0.2">
      <c r="A173" s="4"/>
      <c r="B173" s="27"/>
      <c r="C173" s="28"/>
      <c r="D173" s="28"/>
      <c r="E173" s="29" t="s">
        <v>133</v>
      </c>
      <c r="F173" s="28"/>
      <c r="G173" s="30">
        <v>2257.1799999999998</v>
      </c>
      <c r="H173" s="31"/>
      <c r="I173" s="30">
        <v>2083.37</v>
      </c>
      <c r="J173" s="31"/>
      <c r="K173" s="30">
        <f t="shared" ref="K173:K177" si="157">ROUND((G173-I173),5)</f>
        <v>173.81</v>
      </c>
      <c r="L173" s="31"/>
      <c r="M173" s="32">
        <f t="shared" ref="M173:M177" si="158">ROUND(IF(I173=0, IF(G173=0, 0, 1), G173/I173),5)</f>
        <v>1.0834299999999999</v>
      </c>
      <c r="N173" s="31"/>
      <c r="O173" s="30">
        <v>751.8</v>
      </c>
      <c r="P173" s="31"/>
      <c r="Q173" s="30">
        <v>2083.33</v>
      </c>
      <c r="R173" s="31"/>
      <c r="S173" s="30">
        <f t="shared" ref="S173:S177" si="159">ROUND((O173-Q173),5)</f>
        <v>-1331.53</v>
      </c>
      <c r="T173" s="31"/>
      <c r="U173" s="32">
        <f t="shared" ref="U173:U177" si="160">ROUND(IF(Q173=0, IF(O173=0, 0, 1), O173/Q173),5)</f>
        <v>0.36086000000000001</v>
      </c>
      <c r="V173" s="31"/>
      <c r="W173" s="33">
        <v>4294.16</v>
      </c>
      <c r="X173" s="33"/>
      <c r="Y173" s="33">
        <v>2083.33</v>
      </c>
      <c r="Z173" s="33"/>
      <c r="AA173" s="33">
        <f t="shared" ref="AA173:AA177" si="161">ROUND((W173-Y173),5)</f>
        <v>2210.83</v>
      </c>
      <c r="AB173" s="33"/>
      <c r="AC173" s="33"/>
      <c r="AD173" s="34"/>
      <c r="AE173" s="34"/>
      <c r="AF173" s="49"/>
      <c r="AG173" s="50"/>
      <c r="AH173" s="51"/>
      <c r="AI173" s="51"/>
      <c r="AJ173" s="51"/>
      <c r="AK173" s="51"/>
      <c r="AL173" s="51">
        <v>25000</v>
      </c>
      <c r="AM173" s="51"/>
      <c r="AN173" s="51">
        <f>AP173*4</f>
        <v>29212.560000000001</v>
      </c>
      <c r="AO173" s="51"/>
      <c r="AP173" s="51">
        <f>ROUND(G173+O173+W173,5)</f>
        <v>7303.14</v>
      </c>
      <c r="AQ173" s="51"/>
      <c r="AR173" s="51">
        <f>ROUND(I173+Q173+Y173,5)</f>
        <v>6250.03</v>
      </c>
      <c r="AS173" s="51">
        <f t="shared" si="150"/>
        <v>14606.28</v>
      </c>
      <c r="AT173" s="51"/>
      <c r="AU173" s="65"/>
      <c r="AV173" s="54"/>
      <c r="AW173" s="55"/>
      <c r="AX173" s="56">
        <f t="shared" si="147"/>
        <v>4212.5600000000013</v>
      </c>
      <c r="AY173" s="56"/>
      <c r="AZ173" s="54"/>
      <c r="BA173" s="54"/>
      <c r="BB173" s="54"/>
      <c r="BC173" s="60"/>
      <c r="BD173" s="54">
        <f t="shared" si="154"/>
        <v>0</v>
      </c>
      <c r="BE173" s="54"/>
      <c r="BF173" s="54"/>
      <c r="BG173" s="54"/>
      <c r="BH173" s="54"/>
      <c r="BI173" s="54"/>
      <c r="BJ173" s="54"/>
      <c r="BK173" s="54"/>
      <c r="BL173" s="54"/>
      <c r="BM173" s="58">
        <f t="shared" si="151"/>
        <v>0</v>
      </c>
      <c r="BN173" s="58"/>
      <c r="BO173" s="54"/>
      <c r="BP173" s="54"/>
      <c r="BQ173" s="66">
        <f t="shared" si="132"/>
        <v>0</v>
      </c>
      <c r="BR173" s="66"/>
      <c r="BS173" s="66">
        <f t="shared" si="128"/>
        <v>0</v>
      </c>
      <c r="BT173" s="58"/>
      <c r="BU173" s="54">
        <f>BM173-BI173</f>
        <v>0</v>
      </c>
      <c r="BV173" s="58"/>
      <c r="BW173" s="58">
        <f t="shared" si="145"/>
        <v>0</v>
      </c>
      <c r="BX173" s="58"/>
      <c r="BY173" s="91"/>
      <c r="BZ173" s="115">
        <f t="shared" si="155"/>
        <v>0</v>
      </c>
      <c r="CA173" s="115"/>
      <c r="CB173" s="54">
        <f t="shared" si="156"/>
        <v>0</v>
      </c>
      <c r="CC173" s="54"/>
      <c r="CD173" s="54"/>
      <c r="CE173" s="54"/>
      <c r="CF173" s="54">
        <f>BU173-BQ173</f>
        <v>0</v>
      </c>
      <c r="CG173" s="60"/>
      <c r="CH173" s="61">
        <f t="shared" si="153"/>
        <v>0</v>
      </c>
      <c r="CI173" s="200"/>
      <c r="CJ173" s="301"/>
      <c r="CK173" s="346">
        <f t="shared" si="138"/>
        <v>0</v>
      </c>
    </row>
    <row r="174" spans="1:89" ht="17.25" customHeight="1" x14ac:dyDescent="0.2">
      <c r="A174" s="4"/>
      <c r="B174" s="27"/>
      <c r="C174" s="28" t="s">
        <v>130</v>
      </c>
      <c r="D174" s="36"/>
      <c r="E174" s="29"/>
      <c r="F174" s="28"/>
      <c r="G174" s="30">
        <f>ROUND(SUM(G169:G173),5)</f>
        <v>2916.23</v>
      </c>
      <c r="H174" s="31"/>
      <c r="I174" s="30">
        <f>ROUND(SUM(I169:I173),5)</f>
        <v>2416.7399999999998</v>
      </c>
      <c r="J174" s="31"/>
      <c r="K174" s="30">
        <f t="shared" si="157"/>
        <v>499.49</v>
      </c>
      <c r="L174" s="31"/>
      <c r="M174" s="32">
        <f t="shared" si="158"/>
        <v>1.20668</v>
      </c>
      <c r="N174" s="31"/>
      <c r="O174" s="30">
        <f>ROUND(SUM(O169:O173),5)</f>
        <v>751.8</v>
      </c>
      <c r="P174" s="31"/>
      <c r="Q174" s="30">
        <f>ROUND(SUM(Q169:Q173),5)</f>
        <v>2416.66</v>
      </c>
      <c r="R174" s="31"/>
      <c r="S174" s="30">
        <f t="shared" si="159"/>
        <v>-1664.86</v>
      </c>
      <c r="T174" s="31"/>
      <c r="U174" s="32">
        <f t="shared" si="160"/>
        <v>0.31108999999999998</v>
      </c>
      <c r="V174" s="31"/>
      <c r="W174" s="33">
        <f>SUM(W170:W173)</f>
        <v>4347.95</v>
      </c>
      <c r="X174" s="33"/>
      <c r="Y174" s="33">
        <f>SUM(Y170:Y173)</f>
        <v>2291.66</v>
      </c>
      <c r="Z174" s="33"/>
      <c r="AA174" s="33">
        <f t="shared" si="161"/>
        <v>2056.29</v>
      </c>
      <c r="AB174" s="33"/>
      <c r="AC174" s="33"/>
      <c r="AD174" s="34">
        <v>30000</v>
      </c>
      <c r="AE174" s="34"/>
      <c r="AF174" s="49">
        <v>31941.84</v>
      </c>
      <c r="AG174" s="50"/>
      <c r="AH174" s="51">
        <v>35000</v>
      </c>
      <c r="AI174" s="51"/>
      <c r="AJ174" s="51">
        <v>39880.43</v>
      </c>
      <c r="AK174" s="51"/>
      <c r="AL174" s="51">
        <f>SUM(AL170:AL173)</f>
        <v>32000</v>
      </c>
      <c r="AM174" s="51"/>
      <c r="AN174" s="51">
        <f>40052.33</f>
        <v>40052.33</v>
      </c>
      <c r="AO174" s="51"/>
      <c r="AP174" s="51">
        <v>19758.419999999998</v>
      </c>
      <c r="AQ174" s="51"/>
      <c r="AR174" s="51">
        <f>SUM(AR170:AR173)</f>
        <v>7125.0599999999995</v>
      </c>
      <c r="AS174" s="51">
        <f t="shared" si="150"/>
        <v>39516.839999999997</v>
      </c>
      <c r="AT174" s="51"/>
      <c r="AU174" s="65"/>
      <c r="AV174" s="54">
        <v>32000</v>
      </c>
      <c r="AW174" s="55"/>
      <c r="AX174" s="56">
        <f t="shared" si="147"/>
        <v>8052.3300000000017</v>
      </c>
      <c r="AY174" s="56"/>
      <c r="AZ174" s="54">
        <v>27943.24</v>
      </c>
      <c r="BA174" s="54"/>
      <c r="BB174" s="54"/>
      <c r="BC174" s="60"/>
      <c r="BD174" s="54">
        <v>56489.15</v>
      </c>
      <c r="BE174" s="54"/>
      <c r="BF174" s="54"/>
      <c r="BG174" s="54">
        <v>32000</v>
      </c>
      <c r="BH174" s="54"/>
      <c r="BI174" s="54">
        <v>45926.87</v>
      </c>
      <c r="BJ174" s="54"/>
      <c r="BK174" s="54">
        <v>50000</v>
      </c>
      <c r="BL174" s="54"/>
      <c r="BM174" s="58">
        <f t="shared" si="151"/>
        <v>18000</v>
      </c>
      <c r="BN174" s="58"/>
      <c r="BO174" s="54">
        <v>36137.51</v>
      </c>
      <c r="BP174" s="54"/>
      <c r="BQ174" s="57">
        <v>65087.83</v>
      </c>
      <c r="BR174" s="57"/>
      <c r="BS174" s="57">
        <f t="shared" si="128"/>
        <v>15087.830000000002</v>
      </c>
      <c r="BT174" s="58"/>
      <c r="BU174" s="54">
        <v>48000</v>
      </c>
      <c r="BV174" s="58"/>
      <c r="BW174" s="58">
        <f t="shared" si="145"/>
        <v>-2000</v>
      </c>
      <c r="BX174" s="58"/>
      <c r="BY174" s="91" t="s">
        <v>300</v>
      </c>
      <c r="BZ174" s="233">
        <v>56368.21</v>
      </c>
      <c r="CA174" s="233"/>
      <c r="CB174" s="226">
        <v>48000</v>
      </c>
      <c r="CC174" s="226"/>
      <c r="CD174" s="226">
        <v>46947.18</v>
      </c>
      <c r="CE174" s="226"/>
      <c r="CF174" s="226">
        <v>48000</v>
      </c>
      <c r="CG174" s="227"/>
      <c r="CH174" s="61">
        <f t="shared" si="153"/>
        <v>0</v>
      </c>
      <c r="CI174" s="200"/>
      <c r="CJ174" s="321" t="s">
        <v>313</v>
      </c>
      <c r="CK174" s="346">
        <f t="shared" si="138"/>
        <v>4000</v>
      </c>
    </row>
    <row r="175" spans="1:89" s="7" customFormat="1" ht="15.75" customHeight="1" x14ac:dyDescent="0.2">
      <c r="A175" s="6"/>
      <c r="B175" s="27"/>
      <c r="C175" s="28" t="s">
        <v>134</v>
      </c>
      <c r="D175" s="36"/>
      <c r="E175" s="29"/>
      <c r="F175" s="28"/>
      <c r="G175" s="30">
        <v>483</v>
      </c>
      <c r="H175" s="31"/>
      <c r="I175" s="30">
        <v>2500</v>
      </c>
      <c r="J175" s="31"/>
      <c r="K175" s="30">
        <f t="shared" si="157"/>
        <v>-2017</v>
      </c>
      <c r="L175" s="31"/>
      <c r="M175" s="32">
        <f t="shared" si="158"/>
        <v>0.19320000000000001</v>
      </c>
      <c r="N175" s="31"/>
      <c r="O175" s="30">
        <v>169.5</v>
      </c>
      <c r="P175" s="31"/>
      <c r="Q175" s="30">
        <v>2500</v>
      </c>
      <c r="R175" s="31"/>
      <c r="S175" s="30">
        <f t="shared" si="159"/>
        <v>-2330.5</v>
      </c>
      <c r="T175" s="31"/>
      <c r="U175" s="32">
        <f t="shared" si="160"/>
        <v>6.7799999999999999E-2</v>
      </c>
      <c r="V175" s="31"/>
      <c r="W175" s="33">
        <f>214+163.15</f>
        <v>377.15</v>
      </c>
      <c r="X175" s="33"/>
      <c r="Y175" s="33">
        <v>2500</v>
      </c>
      <c r="Z175" s="33"/>
      <c r="AA175" s="33">
        <f t="shared" si="161"/>
        <v>-2122.85</v>
      </c>
      <c r="AB175" s="33"/>
      <c r="AC175" s="33"/>
      <c r="AD175" s="34">
        <v>12000</v>
      </c>
      <c r="AE175" s="34"/>
      <c r="AF175" s="49">
        <v>13423.03</v>
      </c>
      <c r="AG175" s="50"/>
      <c r="AH175" s="51">
        <v>20000</v>
      </c>
      <c r="AI175" s="51"/>
      <c r="AJ175" s="51">
        <v>14776.93</v>
      </c>
      <c r="AK175" s="51"/>
      <c r="AL175" s="51">
        <v>30000</v>
      </c>
      <c r="AM175" s="51"/>
      <c r="AN175" s="51">
        <v>5945.79</v>
      </c>
      <c r="AO175" s="51"/>
      <c r="AP175" s="51">
        <v>362.41</v>
      </c>
      <c r="AQ175" s="51"/>
      <c r="AR175" s="51">
        <f>ROUND(I175+Q175+Y175,5)</f>
        <v>7500</v>
      </c>
      <c r="AS175" s="51">
        <f t="shared" si="150"/>
        <v>724.82</v>
      </c>
      <c r="AT175" s="51"/>
      <c r="AU175" s="65"/>
      <c r="AV175" s="54">
        <v>20000</v>
      </c>
      <c r="AW175" s="55"/>
      <c r="AX175" s="56">
        <f t="shared" si="147"/>
        <v>-24054.21</v>
      </c>
      <c r="AY175" s="56"/>
      <c r="AZ175" s="54">
        <v>6686.55</v>
      </c>
      <c r="BA175" s="54"/>
      <c r="BB175" s="54"/>
      <c r="BC175" s="60"/>
      <c r="BD175" s="54">
        <v>11433.21</v>
      </c>
      <c r="BE175" s="54"/>
      <c r="BF175" s="54"/>
      <c r="BG175" s="54">
        <v>20000</v>
      </c>
      <c r="BH175" s="54"/>
      <c r="BI175" s="54">
        <v>17042.25</v>
      </c>
      <c r="BJ175" s="54"/>
      <c r="BK175" s="54">
        <v>25000</v>
      </c>
      <c r="BL175" s="54"/>
      <c r="BM175" s="58">
        <f t="shared" si="151"/>
        <v>5000</v>
      </c>
      <c r="BN175" s="58"/>
      <c r="BO175" s="54">
        <v>18191.78</v>
      </c>
      <c r="BP175" s="54"/>
      <c r="BQ175" s="66">
        <v>25978.49</v>
      </c>
      <c r="BR175" s="66"/>
      <c r="BS175" s="66">
        <f t="shared" si="128"/>
        <v>978.4900000000016</v>
      </c>
      <c r="BT175" s="58"/>
      <c r="BU175" s="54">
        <v>15000</v>
      </c>
      <c r="BV175" s="58"/>
      <c r="BW175" s="58">
        <f t="shared" si="145"/>
        <v>-10000</v>
      </c>
      <c r="BX175" s="58"/>
      <c r="BY175" s="231" t="s">
        <v>204</v>
      </c>
      <c r="BZ175" s="115">
        <v>10459.280000000001</v>
      </c>
      <c r="CA175" s="115"/>
      <c r="CB175" s="226">
        <v>15000</v>
      </c>
      <c r="CC175" s="226"/>
      <c r="CD175" s="226">
        <v>6468.94</v>
      </c>
      <c r="CE175" s="226"/>
      <c r="CF175" s="226">
        <v>12750</v>
      </c>
      <c r="CG175" s="227"/>
      <c r="CH175" s="61">
        <f t="shared" si="153"/>
        <v>-2250</v>
      </c>
      <c r="CI175" s="200"/>
      <c r="CJ175" s="321" t="s">
        <v>301</v>
      </c>
      <c r="CK175" s="346">
        <f t="shared" si="138"/>
        <v>1062.5</v>
      </c>
    </row>
    <row r="176" spans="1:89" s="7" customFormat="1" ht="18.75" customHeight="1" thickBot="1" x14ac:dyDescent="0.25">
      <c r="A176" s="6"/>
      <c r="B176" s="27"/>
      <c r="C176" s="28" t="s">
        <v>135</v>
      </c>
      <c r="D176" s="28"/>
      <c r="E176" s="29"/>
      <c r="F176" s="28"/>
      <c r="G176" s="68">
        <v>1502.54</v>
      </c>
      <c r="H176" s="31"/>
      <c r="I176" s="68">
        <v>2083.37</v>
      </c>
      <c r="J176" s="31"/>
      <c r="K176" s="68">
        <f t="shared" si="157"/>
        <v>-580.83000000000004</v>
      </c>
      <c r="L176" s="31"/>
      <c r="M176" s="69">
        <f t="shared" si="158"/>
        <v>0.72121000000000002</v>
      </c>
      <c r="N176" s="31"/>
      <c r="O176" s="68">
        <v>1282.3599999999999</v>
      </c>
      <c r="P176" s="31"/>
      <c r="Q176" s="68">
        <v>2083.33</v>
      </c>
      <c r="R176" s="31"/>
      <c r="S176" s="68">
        <f t="shared" si="159"/>
        <v>-800.97</v>
      </c>
      <c r="T176" s="31"/>
      <c r="U176" s="69">
        <f t="shared" si="160"/>
        <v>0.61553000000000002</v>
      </c>
      <c r="V176" s="31"/>
      <c r="W176" s="33">
        <v>1941.27</v>
      </c>
      <c r="X176" s="33"/>
      <c r="Y176" s="33">
        <v>2083.33</v>
      </c>
      <c r="Z176" s="33"/>
      <c r="AA176" s="33">
        <f t="shared" si="161"/>
        <v>-142.06</v>
      </c>
      <c r="AB176" s="33"/>
      <c r="AC176" s="33"/>
      <c r="AD176" s="34">
        <v>0</v>
      </c>
      <c r="AE176" s="34"/>
      <c r="AF176" s="71"/>
      <c r="AG176" s="72"/>
      <c r="AH176" s="73">
        <v>0</v>
      </c>
      <c r="AI176" s="73"/>
      <c r="AJ176" s="73">
        <v>26050.46</v>
      </c>
      <c r="AK176" s="73"/>
      <c r="AL176" s="73">
        <v>25000</v>
      </c>
      <c r="AM176" s="73"/>
      <c r="AN176" s="73">
        <v>20055.04</v>
      </c>
      <c r="AO176" s="73"/>
      <c r="AP176" s="73">
        <v>8777.2999999999993</v>
      </c>
      <c r="AQ176" s="73"/>
      <c r="AR176" s="73">
        <f>ROUND(I176+Q176+Y176,5)</f>
        <v>6250.03</v>
      </c>
      <c r="AS176" s="73">
        <f t="shared" si="150"/>
        <v>17554.599999999999</v>
      </c>
      <c r="AT176" s="73"/>
      <c r="AU176" s="116"/>
      <c r="AV176" s="73">
        <v>25000</v>
      </c>
      <c r="AW176" s="116"/>
      <c r="AX176" s="234">
        <f t="shared" si="147"/>
        <v>-4944.9599999999991</v>
      </c>
      <c r="AY176" s="234"/>
      <c r="AZ176" s="73">
        <v>14658.42</v>
      </c>
      <c r="BA176" s="73"/>
      <c r="BB176" s="73"/>
      <c r="BC176" s="235"/>
      <c r="BD176" s="73">
        <v>32802.47</v>
      </c>
      <c r="BE176" s="73"/>
      <c r="BF176" s="73"/>
      <c r="BG176" s="73">
        <v>25000</v>
      </c>
      <c r="BH176" s="73"/>
      <c r="BI176" s="73">
        <v>39737.49</v>
      </c>
      <c r="BJ176" s="73"/>
      <c r="BK176" s="73">
        <v>23000</v>
      </c>
      <c r="BL176" s="73"/>
      <c r="BM176" s="236">
        <f t="shared" si="151"/>
        <v>-2000</v>
      </c>
      <c r="BN176" s="236"/>
      <c r="BO176" s="73">
        <v>11330.58</v>
      </c>
      <c r="BP176" s="73"/>
      <c r="BQ176" s="237">
        <v>27140.19</v>
      </c>
      <c r="BR176" s="237"/>
      <c r="BS176" s="237">
        <f t="shared" si="128"/>
        <v>4140.1899999999987</v>
      </c>
      <c r="BT176" s="236"/>
      <c r="BU176" s="73">
        <v>25000</v>
      </c>
      <c r="BV176" s="236"/>
      <c r="BW176" s="236">
        <f t="shared" si="145"/>
        <v>2000</v>
      </c>
      <c r="BX176" s="238"/>
      <c r="BY176" s="239" t="s">
        <v>302</v>
      </c>
      <c r="BZ176" s="240">
        <v>31115.46</v>
      </c>
      <c r="CA176" s="240"/>
      <c r="CB176" s="219">
        <v>25000</v>
      </c>
      <c r="CC176" s="219"/>
      <c r="CD176" s="219">
        <v>19556.419999999998</v>
      </c>
      <c r="CE176" s="219"/>
      <c r="CF176" s="219">
        <v>21250</v>
      </c>
      <c r="CG176" s="220"/>
      <c r="CH176" s="103">
        <f>CF176-CB176</f>
        <v>-3750</v>
      </c>
      <c r="CI176" s="129"/>
      <c r="CJ176" s="320" t="s">
        <v>314</v>
      </c>
      <c r="CK176" s="346">
        <f t="shared" si="138"/>
        <v>1770.8333333333333</v>
      </c>
    </row>
    <row r="177" spans="1:89" s="7" customFormat="1" ht="18" customHeight="1" thickBot="1" x14ac:dyDescent="0.25">
      <c r="A177" s="6"/>
      <c r="B177" s="27" t="s">
        <v>136</v>
      </c>
      <c r="C177" s="28"/>
      <c r="D177" s="28"/>
      <c r="E177" s="29"/>
      <c r="F177" s="28"/>
      <c r="G177" s="30">
        <f>ROUND(G124+G154+G158+G162+SUM(G166:G167)+SUM(G176:G176),5)</f>
        <v>16305.77</v>
      </c>
      <c r="H177" s="31"/>
      <c r="I177" s="30">
        <f>ROUND(I124+I154+I158+I162+SUM(I166:I167)+SUM(I176:I176),5)</f>
        <v>55500.11</v>
      </c>
      <c r="J177" s="31"/>
      <c r="K177" s="30">
        <f t="shared" si="157"/>
        <v>-39194.339999999997</v>
      </c>
      <c r="L177" s="31"/>
      <c r="M177" s="32">
        <f t="shared" si="158"/>
        <v>0.29380000000000001</v>
      </c>
      <c r="N177" s="31"/>
      <c r="O177" s="30">
        <f>ROUND(O124+O154+O158+O162+SUM(O166:O167)+SUM(O176:O176),5)</f>
        <v>188255.01</v>
      </c>
      <c r="P177" s="31"/>
      <c r="Q177" s="30">
        <f>ROUND(Q124+Q154+Q158+Q162+SUM(Q166:Q167)+SUM(Q176:Q176),5)</f>
        <v>55499.99</v>
      </c>
      <c r="R177" s="31"/>
      <c r="S177" s="30">
        <f t="shared" si="159"/>
        <v>132755.01999999999</v>
      </c>
      <c r="T177" s="31"/>
      <c r="U177" s="32">
        <f t="shared" si="160"/>
        <v>3.3919800000000002</v>
      </c>
      <c r="V177" s="31"/>
      <c r="W177" s="76" t="e">
        <f>W176+#REF!+W167+W166+W162+W158+W154+W136</f>
        <v>#REF!</v>
      </c>
      <c r="X177" s="76"/>
      <c r="Y177" s="76" t="e">
        <f>Y176+#REF!+Y167+Y166+Y162+Y158+Y154+Y136</f>
        <v>#REF!</v>
      </c>
      <c r="Z177" s="76"/>
      <c r="AA177" s="76" t="e">
        <f t="shared" si="161"/>
        <v>#REF!</v>
      </c>
      <c r="AB177" s="76"/>
      <c r="AC177" s="76"/>
      <c r="AD177" s="194">
        <f>AD176+D167+AD166+AD162+AD158+AD154+AD136</f>
        <v>695000</v>
      </c>
      <c r="AE177" s="194"/>
      <c r="AF177" s="195">
        <f>AF176+AF167+AF166+AF162+AF158+AF154+AF136</f>
        <v>674945.84000000008</v>
      </c>
      <c r="AG177" s="81"/>
      <c r="AH177" s="41">
        <f>AH176+AH167+AH166+AH162+AH158+AH154+AH136</f>
        <v>711000</v>
      </c>
      <c r="AI177" s="41"/>
      <c r="AJ177" s="41">
        <v>692290.72000000009</v>
      </c>
      <c r="AK177" s="41"/>
      <c r="AL177" s="41">
        <f>AL176++AL167+AL166+AL162+AL158+AL154+AL136+AL175+AL174+AL168+AL118</f>
        <v>835500</v>
      </c>
      <c r="AM177" s="41"/>
      <c r="AN177" s="41">
        <f>AN176++AN167+AN166+AN162+AN158+AN154+AN136+AN175+AN174+AN168</f>
        <v>715400.73999999987</v>
      </c>
      <c r="AO177" s="41"/>
      <c r="AP177" s="41">
        <f>AP176++AP167+AP166+AP162+AP158+AP154+AP136+AP175+AP174+AP168+AP118</f>
        <v>372864.99999999994</v>
      </c>
      <c r="AQ177" s="41"/>
      <c r="AR177" s="41">
        <f>AR176++AR167+AR166+AR162+AR158+AR154+AR136+AR175+AR174+AR168+AR118</f>
        <v>205500.15</v>
      </c>
      <c r="AS177" s="41">
        <f t="shared" si="150"/>
        <v>745729.99999999988</v>
      </c>
      <c r="AT177" s="41"/>
      <c r="AU177" s="42"/>
      <c r="AV177" s="189">
        <f>AV176++AV167+AV166+AV162+AV158+AV154+AV136+AV175+AV174+AV168</f>
        <v>710000</v>
      </c>
      <c r="AW177" s="166"/>
      <c r="AX177" s="241">
        <f t="shared" si="147"/>
        <v>-120099.26000000013</v>
      </c>
      <c r="AY177" s="241"/>
      <c r="AZ177" s="189">
        <f>AZ176+AZ175+AZ174+AZ167+AZ166+AZ162+AZ158+AZ154+AZ136</f>
        <v>381331.87699999998</v>
      </c>
      <c r="BA177" s="189"/>
      <c r="BB177" s="189"/>
      <c r="BC177" s="242"/>
      <c r="BD177" s="189">
        <f>SUM(BD176+BD175+BD174+BD168+BD167+BD166+BD162+BD158+BD154+BD136)</f>
        <v>772957.23</v>
      </c>
      <c r="BE177" s="189"/>
      <c r="BF177" s="189"/>
      <c r="BG177" s="189">
        <f>SUM(BG176+BG175+BG174+BG168+BG167+BG166+BG162+BG158+BG154+BG136)</f>
        <v>665000</v>
      </c>
      <c r="BH177" s="189"/>
      <c r="BI177" s="189">
        <f>BI176+BI175+BI174+BI167+BI166+BI162+BI158+BI154+BI136</f>
        <v>753405.19999999984</v>
      </c>
      <c r="BJ177" s="189"/>
      <c r="BK177" s="189">
        <f>BK176+BK175+BK174+BK167+BK166+BK162+BK158+BK154+BK136</f>
        <v>679600</v>
      </c>
      <c r="BL177" s="189"/>
      <c r="BM177" s="243">
        <f>BK177-BG177</f>
        <v>14600</v>
      </c>
      <c r="BN177" s="243"/>
      <c r="BO177" s="189">
        <f>BO176++BO167+BO166+BO162+BO158+BO154+BO136+BO175+BO174+BO168</f>
        <v>376589.49</v>
      </c>
      <c r="BP177" s="189"/>
      <c r="BQ177" s="189">
        <f>BQ176+BQ175+BQ174+BQ167+BQ166+BQ162+BQ158+BQ154+BQ136</f>
        <v>699320.55</v>
      </c>
      <c r="BR177" s="244"/>
      <c r="BS177" s="244">
        <f>BS176+BS175+BS174+BS167+BS166+BS162+BS158+BS154+BS136</f>
        <v>19720.55</v>
      </c>
      <c r="BT177" s="243"/>
      <c r="BU177" s="189">
        <f>BU176+BU175+BU174+BU167+BU166+BU162+BU158+BU154+BU136</f>
        <v>653500</v>
      </c>
      <c r="BV177" s="243"/>
      <c r="BW177" s="243">
        <f t="shared" si="145"/>
        <v>-26100</v>
      </c>
      <c r="BX177" s="238"/>
      <c r="BY177" s="245"/>
      <c r="BZ177" s="189">
        <f>BZ176+BZ175+BZ174+BZ167+BZ166+BZ162+BZ158+BZ154+BZ136</f>
        <v>655771.71</v>
      </c>
      <c r="CA177" s="189"/>
      <c r="CB177" s="167">
        <f>CB176+CB175+CB174+CB167+CB166+CB162+CB158+CB154+CB136</f>
        <v>673500</v>
      </c>
      <c r="CC177" s="167"/>
      <c r="CD177" s="167">
        <f>CD176+CD175+CD174+CD167+CD166+CD162+CD158+CD154+CD136</f>
        <v>420659.72</v>
      </c>
      <c r="CE177" s="167"/>
      <c r="CF177" s="167">
        <f>CF176+CF175+CF174+CF167+CF166+CF162+CF158+CF154+CF136+CF132+CF125</f>
        <v>631410</v>
      </c>
      <c r="CG177" s="107"/>
      <c r="CH177" s="103">
        <f t="shared" si="153"/>
        <v>-42090</v>
      </c>
      <c r="CI177" s="96"/>
      <c r="CJ177" s="310"/>
      <c r="CK177" s="346">
        <f t="shared" si="138"/>
        <v>52617.5</v>
      </c>
    </row>
    <row r="178" spans="1:89" s="7" customFormat="1" ht="18.75" customHeight="1" x14ac:dyDescent="0.2">
      <c r="A178" s="6"/>
      <c r="B178" s="27" t="s">
        <v>163</v>
      </c>
      <c r="C178" s="28"/>
      <c r="D178" s="28"/>
      <c r="E178" s="29"/>
      <c r="F178" s="28"/>
      <c r="G178" s="30">
        <v>699.95</v>
      </c>
      <c r="H178" s="31"/>
      <c r="I178" s="30">
        <v>11250</v>
      </c>
      <c r="J178" s="31"/>
      <c r="K178" s="30">
        <f>ROUND((G178-I178),5)</f>
        <v>-10550.05</v>
      </c>
      <c r="L178" s="31"/>
      <c r="M178" s="32">
        <f>ROUND(IF(I178=0, IF(G178=0, 0, 1), G178/I178),5)</f>
        <v>6.2219999999999998E-2</v>
      </c>
      <c r="N178" s="31"/>
      <c r="O178" s="30">
        <v>0</v>
      </c>
      <c r="P178" s="31"/>
      <c r="Q178" s="30">
        <v>11250</v>
      </c>
      <c r="R178" s="31"/>
      <c r="S178" s="30">
        <f>ROUND((O178-Q178),5)</f>
        <v>-11250</v>
      </c>
      <c r="T178" s="31"/>
      <c r="U178" s="32">
        <f>ROUND(IF(Q178=0, IF(O178=0, 0, 1), O178/Q178),5)</f>
        <v>0</v>
      </c>
      <c r="V178" s="31"/>
      <c r="W178" s="33">
        <v>0</v>
      </c>
      <c r="X178" s="33"/>
      <c r="Y178" s="33">
        <v>11250</v>
      </c>
      <c r="Z178" s="33"/>
      <c r="AA178" s="33">
        <f>ROUND((W178-Y178),5)</f>
        <v>-11250</v>
      </c>
      <c r="AB178" s="33"/>
      <c r="AC178" s="33"/>
      <c r="AD178" s="34">
        <v>108959.91</v>
      </c>
      <c r="AE178" s="34"/>
      <c r="AF178" s="260">
        <v>101450.64</v>
      </c>
      <c r="AG178" s="261"/>
      <c r="AH178" s="51">
        <v>147459.91</v>
      </c>
      <c r="AI178" s="51"/>
      <c r="AJ178" s="51">
        <v>173471.51</v>
      </c>
      <c r="AK178" s="51"/>
      <c r="AL178" s="51">
        <v>135000</v>
      </c>
      <c r="AM178" s="51"/>
      <c r="AN178" s="51">
        <v>312812.62</v>
      </c>
      <c r="AO178" s="51"/>
      <c r="AP178" s="51">
        <v>19656.95</v>
      </c>
      <c r="AQ178" s="51"/>
      <c r="AR178" s="51">
        <f>ROUND(I178+Q178+Y178,5)</f>
        <v>33750</v>
      </c>
      <c r="AS178" s="51">
        <f t="shared" ref="AS178:AS185" si="162">AP178*2</f>
        <v>39313.9</v>
      </c>
      <c r="AT178" s="51"/>
      <c r="AU178" s="65"/>
      <c r="AV178" s="79">
        <v>26964.51</v>
      </c>
      <c r="AW178" s="80"/>
      <c r="AX178" s="81">
        <f t="shared" ref="AX178:AX185" si="163">AN178-AL178</f>
        <v>177812.62</v>
      </c>
      <c r="AY178" s="81"/>
      <c r="AZ178" s="79">
        <v>20391.21</v>
      </c>
      <c r="BA178" s="79"/>
      <c r="BB178" s="79"/>
      <c r="BC178" s="83"/>
      <c r="BD178" s="79">
        <v>20405.189999999999</v>
      </c>
      <c r="BE178" s="79"/>
      <c r="BF178" s="79"/>
      <c r="BG178" s="79">
        <f>15286.58-3608.65-7000</f>
        <v>4677.93</v>
      </c>
      <c r="BH178" s="79"/>
      <c r="BI178" s="79">
        <v>730.72</v>
      </c>
      <c r="BJ178" s="79"/>
      <c r="BK178" s="79">
        <v>5325.48</v>
      </c>
      <c r="BL178" s="79"/>
      <c r="BM178" s="84">
        <f t="shared" ref="BM178:BM184" si="164">BK178-BG178</f>
        <v>647.54999999999927</v>
      </c>
      <c r="BN178" s="84"/>
      <c r="BO178" s="79">
        <v>3285.2</v>
      </c>
      <c r="BP178" s="79"/>
      <c r="BQ178" s="85">
        <v>3304.19</v>
      </c>
      <c r="BR178" s="85"/>
      <c r="BS178" s="85">
        <f t="shared" si="128"/>
        <v>-2021.2899999999995</v>
      </c>
      <c r="BT178" s="84"/>
      <c r="BU178" s="79">
        <v>0</v>
      </c>
      <c r="BV178" s="84"/>
      <c r="BW178" s="84">
        <f t="shared" si="145"/>
        <v>-5325.48</v>
      </c>
      <c r="BX178" s="58"/>
      <c r="BY178" s="91"/>
      <c r="BZ178" s="85">
        <v>768.72</v>
      </c>
      <c r="CA178" s="85"/>
      <c r="CB178" s="79">
        <v>0</v>
      </c>
      <c r="CC178" s="79"/>
      <c r="CD178" s="79">
        <v>0</v>
      </c>
      <c r="CE178" s="79"/>
      <c r="CF178" s="79">
        <v>0</v>
      </c>
      <c r="CG178" s="198"/>
      <c r="CH178" s="199"/>
      <c r="CI178" s="199"/>
      <c r="CJ178" s="311"/>
      <c r="CK178" s="346">
        <f t="shared" si="138"/>
        <v>0</v>
      </c>
    </row>
    <row r="179" spans="1:89" s="7" customFormat="1" ht="18.75" hidden="1" customHeight="1" x14ac:dyDescent="0.2">
      <c r="A179" s="6"/>
      <c r="B179" s="27"/>
      <c r="C179" s="28" t="s">
        <v>142</v>
      </c>
      <c r="D179" s="28"/>
      <c r="E179" s="29"/>
      <c r="F179" s="28"/>
      <c r="G179" s="30">
        <v>60</v>
      </c>
      <c r="H179" s="31"/>
      <c r="I179" s="30">
        <v>0</v>
      </c>
      <c r="J179" s="31"/>
      <c r="K179" s="30">
        <f t="shared" ref="K179:K184" si="165">ROUND((G179-I179),5)</f>
        <v>60</v>
      </c>
      <c r="L179" s="31"/>
      <c r="M179" s="32">
        <f t="shared" ref="M179:M184" si="166">ROUND(IF(I179=0, IF(G179=0, 0, 1), G179/I179),5)</f>
        <v>1</v>
      </c>
      <c r="N179" s="31"/>
      <c r="O179" s="30">
        <v>0</v>
      </c>
      <c r="P179" s="31"/>
      <c r="Q179" s="30">
        <v>0</v>
      </c>
      <c r="R179" s="31"/>
      <c r="S179" s="30">
        <f t="shared" ref="S179:S184" si="167">ROUND((O179-Q179),5)</f>
        <v>0</v>
      </c>
      <c r="T179" s="31"/>
      <c r="U179" s="32">
        <f t="shared" ref="U179:U184" si="168">ROUND(IF(Q179=0, IF(O179=0, 0, 1), O179/Q179),5)</f>
        <v>0</v>
      </c>
      <c r="V179" s="31"/>
      <c r="W179" s="33">
        <v>0</v>
      </c>
      <c r="X179" s="33"/>
      <c r="Y179" s="33">
        <v>0</v>
      </c>
      <c r="Z179" s="33"/>
      <c r="AA179" s="33">
        <f t="shared" ref="AA179:AA184" si="169">ROUND((W179-Y179),5)</f>
        <v>0</v>
      </c>
      <c r="AB179" s="33"/>
      <c r="AC179" s="33"/>
      <c r="AD179" s="34"/>
      <c r="AE179" s="34"/>
      <c r="AF179" s="260">
        <v>230433.24</v>
      </c>
      <c r="AG179" s="261"/>
      <c r="AH179" s="51">
        <v>43849.35</v>
      </c>
      <c r="AI179" s="51"/>
      <c r="AJ179" s="51">
        <v>43849.35</v>
      </c>
      <c r="AK179" s="51"/>
      <c r="AL179" s="51"/>
      <c r="AM179" s="51"/>
      <c r="AN179" s="51">
        <f>AP179*4</f>
        <v>240</v>
      </c>
      <c r="AO179" s="51"/>
      <c r="AP179" s="51">
        <f t="shared" ref="AP179:AP183" si="170">ROUND(G179+O179+W179,5)</f>
        <v>60</v>
      </c>
      <c r="AQ179" s="51"/>
      <c r="AR179" s="51">
        <f t="shared" ref="AR179:AR184" si="171">ROUND(I179+Q179+Y179,5)</f>
        <v>0</v>
      </c>
      <c r="AS179" s="51">
        <f t="shared" si="162"/>
        <v>120</v>
      </c>
      <c r="AT179" s="51"/>
      <c r="AU179" s="65"/>
      <c r="AV179" s="54"/>
      <c r="AW179" s="55"/>
      <c r="AX179" s="56">
        <f t="shared" si="163"/>
        <v>240</v>
      </c>
      <c r="AY179" s="56"/>
      <c r="AZ179" s="54"/>
      <c r="BA179" s="54"/>
      <c r="BB179" s="54"/>
      <c r="BC179" s="60"/>
      <c r="BD179" s="54">
        <f t="shared" ref="BD179:BD183" si="172">(AZ179/5)*12</f>
        <v>0</v>
      </c>
      <c r="BE179" s="54"/>
      <c r="BF179" s="54"/>
      <c r="BG179" s="54"/>
      <c r="BH179" s="54"/>
      <c r="BI179" s="54"/>
      <c r="BJ179" s="54"/>
      <c r="BK179" s="54"/>
      <c r="BL179" s="54"/>
      <c r="BM179" s="58">
        <f t="shared" si="164"/>
        <v>0</v>
      </c>
      <c r="BN179" s="58"/>
      <c r="BO179" s="54"/>
      <c r="BP179" s="54"/>
      <c r="BQ179" s="66">
        <f t="shared" si="132"/>
        <v>0</v>
      </c>
      <c r="BR179" s="66"/>
      <c r="BS179" s="66">
        <f t="shared" si="128"/>
        <v>0</v>
      </c>
      <c r="BT179" s="58"/>
      <c r="BU179" s="54">
        <f>BM179-BI179</f>
        <v>0</v>
      </c>
      <c r="BV179" s="58"/>
      <c r="BW179" s="58">
        <f t="shared" si="145"/>
        <v>0</v>
      </c>
      <c r="BX179" s="58"/>
      <c r="BY179" s="91"/>
      <c r="BZ179" s="66">
        <f t="shared" ref="BZ179:BZ183" si="173">BX179*2</f>
        <v>0</v>
      </c>
      <c r="CA179" s="66"/>
      <c r="CB179" s="54">
        <f t="shared" ref="CB179:CB183" si="174">BS179-BO179</f>
        <v>0</v>
      </c>
      <c r="CC179" s="54"/>
      <c r="CD179" s="54">
        <f>BT179-BP179</f>
        <v>0</v>
      </c>
      <c r="CE179" s="54"/>
      <c r="CF179" s="54">
        <f>BU179-BQ179</f>
        <v>0</v>
      </c>
      <c r="CG179" s="132"/>
      <c r="CH179" s="200">
        <f>CB179-BU179</f>
        <v>0</v>
      </c>
      <c r="CI179" s="200"/>
      <c r="CJ179" s="312"/>
      <c r="CK179" s="346">
        <f t="shared" si="138"/>
        <v>0</v>
      </c>
    </row>
    <row r="180" spans="1:89" s="7" customFormat="1" ht="18.75" hidden="1" customHeight="1" x14ac:dyDescent="0.2">
      <c r="A180" s="6"/>
      <c r="B180" s="27"/>
      <c r="C180" s="28" t="s">
        <v>143</v>
      </c>
      <c r="D180" s="28"/>
      <c r="E180" s="29"/>
      <c r="F180" s="28"/>
      <c r="G180" s="30">
        <v>0</v>
      </c>
      <c r="H180" s="31"/>
      <c r="I180" s="30">
        <v>0</v>
      </c>
      <c r="J180" s="31"/>
      <c r="K180" s="30">
        <f t="shared" si="165"/>
        <v>0</v>
      </c>
      <c r="L180" s="31"/>
      <c r="M180" s="32">
        <f t="shared" si="166"/>
        <v>0</v>
      </c>
      <c r="N180" s="31"/>
      <c r="O180" s="30">
        <v>8888.8799999999992</v>
      </c>
      <c r="P180" s="31"/>
      <c r="Q180" s="30">
        <v>0</v>
      </c>
      <c r="R180" s="31"/>
      <c r="S180" s="30">
        <f t="shared" si="167"/>
        <v>8888.8799999999992</v>
      </c>
      <c r="T180" s="31"/>
      <c r="U180" s="32">
        <f t="shared" si="168"/>
        <v>1</v>
      </c>
      <c r="V180" s="31"/>
      <c r="W180" s="33">
        <v>0</v>
      </c>
      <c r="X180" s="33"/>
      <c r="Y180" s="33">
        <v>0</v>
      </c>
      <c r="Z180" s="33"/>
      <c r="AA180" s="33">
        <f t="shared" si="169"/>
        <v>0</v>
      </c>
      <c r="AB180" s="33"/>
      <c r="AC180" s="33"/>
      <c r="AD180" s="34"/>
      <c r="AE180" s="34"/>
      <c r="AF180" s="49"/>
      <c r="AG180" s="50"/>
      <c r="AH180" s="51">
        <v>-114528.13</v>
      </c>
      <c r="AI180" s="51"/>
      <c r="AJ180" s="51">
        <v>-114528.13</v>
      </c>
      <c r="AK180" s="51"/>
      <c r="AL180" s="51"/>
      <c r="AM180" s="51"/>
      <c r="AN180" s="51">
        <f>AP180*4</f>
        <v>35555.519999999997</v>
      </c>
      <c r="AO180" s="51"/>
      <c r="AP180" s="51">
        <f t="shared" si="170"/>
        <v>8888.8799999999992</v>
      </c>
      <c r="AQ180" s="51"/>
      <c r="AR180" s="51">
        <f t="shared" si="171"/>
        <v>0</v>
      </c>
      <c r="AS180" s="51">
        <f t="shared" si="162"/>
        <v>17777.759999999998</v>
      </c>
      <c r="AT180" s="51"/>
      <c r="AU180" s="65"/>
      <c r="AV180" s="54"/>
      <c r="AW180" s="55"/>
      <c r="AX180" s="56">
        <f t="shared" si="163"/>
        <v>35555.519999999997</v>
      </c>
      <c r="AY180" s="56"/>
      <c r="AZ180" s="54"/>
      <c r="BA180" s="54"/>
      <c r="BB180" s="54"/>
      <c r="BC180" s="60"/>
      <c r="BD180" s="54">
        <f t="shared" si="172"/>
        <v>0</v>
      </c>
      <c r="BE180" s="54"/>
      <c r="BF180" s="54"/>
      <c r="BG180" s="54"/>
      <c r="BH180" s="54"/>
      <c r="BI180" s="54"/>
      <c r="BJ180" s="54"/>
      <c r="BK180" s="54"/>
      <c r="BL180" s="54"/>
      <c r="BM180" s="58">
        <f t="shared" si="164"/>
        <v>0</v>
      </c>
      <c r="BN180" s="58"/>
      <c r="BO180" s="54"/>
      <c r="BP180" s="54"/>
      <c r="BQ180" s="66">
        <f t="shared" si="132"/>
        <v>0</v>
      </c>
      <c r="BR180" s="66"/>
      <c r="BS180" s="66">
        <f t="shared" si="128"/>
        <v>0</v>
      </c>
      <c r="BT180" s="58"/>
      <c r="BU180" s="54">
        <f>BM180-BI180</f>
        <v>0</v>
      </c>
      <c r="BV180" s="58"/>
      <c r="BW180" s="58">
        <f t="shared" si="145"/>
        <v>0</v>
      </c>
      <c r="BX180" s="58"/>
      <c r="BY180" s="91"/>
      <c r="BZ180" s="66">
        <f t="shared" si="173"/>
        <v>0</v>
      </c>
      <c r="CA180" s="66"/>
      <c r="CB180" s="54">
        <f t="shared" si="174"/>
        <v>0</v>
      </c>
      <c r="CC180" s="54"/>
      <c r="CD180" s="54">
        <f>BT180-BP180</f>
        <v>0</v>
      </c>
      <c r="CE180" s="54"/>
      <c r="CF180" s="54">
        <f>BU180-BQ180</f>
        <v>0</v>
      </c>
      <c r="CG180" s="132"/>
      <c r="CH180" s="200">
        <f>CB180-BU180</f>
        <v>0</v>
      </c>
      <c r="CI180" s="200"/>
      <c r="CJ180" s="312"/>
      <c r="CK180" s="346">
        <f t="shared" si="138"/>
        <v>0</v>
      </c>
    </row>
    <row r="181" spans="1:89" s="7" customFormat="1" ht="18.75" hidden="1" customHeight="1" x14ac:dyDescent="0.2">
      <c r="A181" s="6"/>
      <c r="B181" s="27"/>
      <c r="C181" s="28" t="s">
        <v>144</v>
      </c>
      <c r="D181" s="28"/>
      <c r="E181" s="29"/>
      <c r="F181" s="28"/>
      <c r="G181" s="30">
        <v>0</v>
      </c>
      <c r="H181" s="31"/>
      <c r="I181" s="30">
        <v>0</v>
      </c>
      <c r="J181" s="31"/>
      <c r="K181" s="30">
        <f t="shared" si="165"/>
        <v>0</v>
      </c>
      <c r="L181" s="31"/>
      <c r="M181" s="32">
        <f t="shared" si="166"/>
        <v>0</v>
      </c>
      <c r="N181" s="31"/>
      <c r="O181" s="30">
        <v>4280</v>
      </c>
      <c r="P181" s="31"/>
      <c r="Q181" s="30">
        <v>0</v>
      </c>
      <c r="R181" s="31"/>
      <c r="S181" s="30">
        <f t="shared" si="167"/>
        <v>4280</v>
      </c>
      <c r="T181" s="31"/>
      <c r="U181" s="32">
        <f t="shared" si="168"/>
        <v>1</v>
      </c>
      <c r="V181" s="31"/>
      <c r="W181" s="33">
        <v>0</v>
      </c>
      <c r="X181" s="33"/>
      <c r="Y181" s="33">
        <v>0</v>
      </c>
      <c r="Z181" s="33"/>
      <c r="AA181" s="33">
        <f t="shared" si="169"/>
        <v>0</v>
      </c>
      <c r="AB181" s="33"/>
      <c r="AC181" s="33"/>
      <c r="AD181" s="34"/>
      <c r="AE181" s="34"/>
      <c r="AF181" s="49"/>
      <c r="AG181" s="50"/>
      <c r="AH181" s="51">
        <v>193893.84999999998</v>
      </c>
      <c r="AI181" s="51"/>
      <c r="AJ181" s="51">
        <v>193893.84999999998</v>
      </c>
      <c r="AK181" s="51"/>
      <c r="AL181" s="51"/>
      <c r="AM181" s="51"/>
      <c r="AN181" s="51">
        <f>AP181*4</f>
        <v>17120</v>
      </c>
      <c r="AO181" s="51"/>
      <c r="AP181" s="51">
        <f t="shared" si="170"/>
        <v>4280</v>
      </c>
      <c r="AQ181" s="51"/>
      <c r="AR181" s="51">
        <f t="shared" si="171"/>
        <v>0</v>
      </c>
      <c r="AS181" s="51">
        <f t="shared" si="162"/>
        <v>8560</v>
      </c>
      <c r="AT181" s="51"/>
      <c r="AU181" s="65"/>
      <c r="AV181" s="54"/>
      <c r="AW181" s="55"/>
      <c r="AX181" s="56">
        <f t="shared" si="163"/>
        <v>17120</v>
      </c>
      <c r="AY181" s="56"/>
      <c r="AZ181" s="54"/>
      <c r="BA181" s="54"/>
      <c r="BB181" s="54"/>
      <c r="BC181" s="60"/>
      <c r="BD181" s="54">
        <f t="shared" si="172"/>
        <v>0</v>
      </c>
      <c r="BE181" s="54"/>
      <c r="BF181" s="54"/>
      <c r="BG181" s="54"/>
      <c r="BH181" s="54"/>
      <c r="BI181" s="54"/>
      <c r="BJ181" s="54"/>
      <c r="BK181" s="54"/>
      <c r="BL181" s="54"/>
      <c r="BM181" s="58">
        <f t="shared" si="164"/>
        <v>0</v>
      </c>
      <c r="BN181" s="58"/>
      <c r="BO181" s="54"/>
      <c r="BP181" s="54"/>
      <c r="BQ181" s="66">
        <f t="shared" si="132"/>
        <v>0</v>
      </c>
      <c r="BR181" s="66"/>
      <c r="BS181" s="66">
        <f t="shared" si="128"/>
        <v>0</v>
      </c>
      <c r="BT181" s="58"/>
      <c r="BU181" s="54">
        <f>BM181-BI181</f>
        <v>0</v>
      </c>
      <c r="BV181" s="58"/>
      <c r="BW181" s="58">
        <f t="shared" si="145"/>
        <v>0</v>
      </c>
      <c r="BX181" s="58"/>
      <c r="BY181" s="91"/>
      <c r="BZ181" s="66">
        <f t="shared" si="173"/>
        <v>0</v>
      </c>
      <c r="CA181" s="66"/>
      <c r="CB181" s="54">
        <f t="shared" si="174"/>
        <v>0</v>
      </c>
      <c r="CC181" s="54"/>
      <c r="CD181" s="54">
        <f>BT181-BP181</f>
        <v>0</v>
      </c>
      <c r="CE181" s="54"/>
      <c r="CF181" s="54">
        <f>BU181-BQ181</f>
        <v>0</v>
      </c>
      <c r="CG181" s="132"/>
      <c r="CH181" s="200">
        <f>CB181-BU181</f>
        <v>0</v>
      </c>
      <c r="CI181" s="200"/>
      <c r="CJ181" s="312"/>
      <c r="CK181" s="346">
        <f t="shared" si="138"/>
        <v>0</v>
      </c>
    </row>
    <row r="182" spans="1:89" s="7" customFormat="1" ht="18.75" hidden="1" customHeight="1" x14ac:dyDescent="0.2">
      <c r="A182" s="6"/>
      <c r="B182" s="27"/>
      <c r="C182" s="28" t="s">
        <v>145</v>
      </c>
      <c r="D182" s="28"/>
      <c r="E182" s="29"/>
      <c r="F182" s="28"/>
      <c r="G182" s="30">
        <v>0</v>
      </c>
      <c r="H182" s="31"/>
      <c r="I182" s="30">
        <v>0</v>
      </c>
      <c r="J182" s="31"/>
      <c r="K182" s="30">
        <f t="shared" si="165"/>
        <v>0</v>
      </c>
      <c r="L182" s="31"/>
      <c r="M182" s="32">
        <f t="shared" si="166"/>
        <v>0</v>
      </c>
      <c r="N182" s="31"/>
      <c r="O182" s="30">
        <v>415.56</v>
      </c>
      <c r="P182" s="31"/>
      <c r="Q182" s="30">
        <v>0</v>
      </c>
      <c r="R182" s="31"/>
      <c r="S182" s="30">
        <f t="shared" si="167"/>
        <v>415.56</v>
      </c>
      <c r="T182" s="31"/>
      <c r="U182" s="32">
        <f t="shared" si="168"/>
        <v>1</v>
      </c>
      <c r="V182" s="31"/>
      <c r="W182" s="33">
        <v>255</v>
      </c>
      <c r="X182" s="33"/>
      <c r="Y182" s="33">
        <v>0</v>
      </c>
      <c r="Z182" s="33"/>
      <c r="AA182" s="33">
        <f t="shared" si="169"/>
        <v>255</v>
      </c>
      <c r="AB182" s="33"/>
      <c r="AC182" s="33"/>
      <c r="AD182" s="34"/>
      <c r="AE182" s="34"/>
      <c r="AF182" s="49"/>
      <c r="AG182" s="50"/>
      <c r="AH182" s="51"/>
      <c r="AI182" s="51"/>
      <c r="AJ182" s="51"/>
      <c r="AK182" s="51"/>
      <c r="AL182" s="51"/>
      <c r="AM182" s="51"/>
      <c r="AN182" s="51">
        <f>AP182*4</f>
        <v>2682.24</v>
      </c>
      <c r="AO182" s="51"/>
      <c r="AP182" s="51">
        <f t="shared" si="170"/>
        <v>670.56</v>
      </c>
      <c r="AQ182" s="51"/>
      <c r="AR182" s="51">
        <f t="shared" si="171"/>
        <v>0</v>
      </c>
      <c r="AS182" s="51">
        <f t="shared" si="162"/>
        <v>1341.12</v>
      </c>
      <c r="AT182" s="51"/>
      <c r="AU182" s="65"/>
      <c r="AV182" s="54"/>
      <c r="AW182" s="55"/>
      <c r="AX182" s="56">
        <f t="shared" si="163"/>
        <v>2682.24</v>
      </c>
      <c r="AY182" s="56"/>
      <c r="AZ182" s="54"/>
      <c r="BA182" s="54"/>
      <c r="BB182" s="54"/>
      <c r="BC182" s="60"/>
      <c r="BD182" s="54">
        <f t="shared" si="172"/>
        <v>0</v>
      </c>
      <c r="BE182" s="54"/>
      <c r="BF182" s="54"/>
      <c r="BG182" s="54"/>
      <c r="BH182" s="54"/>
      <c r="BI182" s="54"/>
      <c r="BJ182" s="54"/>
      <c r="BK182" s="54"/>
      <c r="BL182" s="54"/>
      <c r="BM182" s="58">
        <f t="shared" si="164"/>
        <v>0</v>
      </c>
      <c r="BN182" s="58"/>
      <c r="BO182" s="54"/>
      <c r="BP182" s="54"/>
      <c r="BQ182" s="66">
        <f t="shared" si="132"/>
        <v>0</v>
      </c>
      <c r="BR182" s="66"/>
      <c r="BS182" s="66">
        <f t="shared" si="128"/>
        <v>0</v>
      </c>
      <c r="BT182" s="58"/>
      <c r="BU182" s="54">
        <f>BM182-BI182</f>
        <v>0</v>
      </c>
      <c r="BV182" s="58"/>
      <c r="BW182" s="58">
        <f t="shared" si="145"/>
        <v>0</v>
      </c>
      <c r="BX182" s="58"/>
      <c r="BY182" s="91"/>
      <c r="BZ182" s="66">
        <f t="shared" si="173"/>
        <v>0</v>
      </c>
      <c r="CA182" s="66"/>
      <c r="CB182" s="54">
        <f t="shared" si="174"/>
        <v>0</v>
      </c>
      <c r="CC182" s="54"/>
      <c r="CD182" s="54">
        <f>BT182-BP182</f>
        <v>0</v>
      </c>
      <c r="CE182" s="54"/>
      <c r="CF182" s="54">
        <f>BU182-BQ182</f>
        <v>0</v>
      </c>
      <c r="CG182" s="132"/>
      <c r="CH182" s="200">
        <f>CB182-BU182</f>
        <v>0</v>
      </c>
      <c r="CI182" s="200"/>
      <c r="CJ182" s="312"/>
      <c r="CK182" s="346">
        <f t="shared" si="138"/>
        <v>0</v>
      </c>
    </row>
    <row r="183" spans="1:89" s="7" customFormat="1" ht="18.75" hidden="1" customHeight="1" thickBot="1" x14ac:dyDescent="0.25">
      <c r="A183" s="6"/>
      <c r="B183" s="27"/>
      <c r="C183" s="28" t="s">
        <v>146</v>
      </c>
      <c r="D183" s="28"/>
      <c r="E183" s="29"/>
      <c r="F183" s="28"/>
      <c r="G183" s="68">
        <v>37.880000000000003</v>
      </c>
      <c r="H183" s="31"/>
      <c r="I183" s="68">
        <v>17539.689999999999</v>
      </c>
      <c r="J183" s="31"/>
      <c r="K183" s="68">
        <f t="shared" si="165"/>
        <v>-17501.810000000001</v>
      </c>
      <c r="L183" s="31"/>
      <c r="M183" s="69">
        <f t="shared" si="166"/>
        <v>2.16E-3</v>
      </c>
      <c r="N183" s="31"/>
      <c r="O183" s="68">
        <v>9948</v>
      </c>
      <c r="P183" s="31"/>
      <c r="Q183" s="68">
        <v>17539.66</v>
      </c>
      <c r="R183" s="31"/>
      <c r="S183" s="68">
        <f t="shared" si="167"/>
        <v>-7591.66</v>
      </c>
      <c r="T183" s="31"/>
      <c r="U183" s="69">
        <f t="shared" si="168"/>
        <v>0.56716999999999995</v>
      </c>
      <c r="V183" s="31"/>
      <c r="W183" s="70">
        <v>26997.68</v>
      </c>
      <c r="X183" s="33"/>
      <c r="Y183" s="70">
        <v>17539.66</v>
      </c>
      <c r="Z183" s="33"/>
      <c r="AA183" s="70">
        <f t="shared" si="169"/>
        <v>9458.02</v>
      </c>
      <c r="AB183" s="33"/>
      <c r="AC183" s="33"/>
      <c r="AD183" s="34"/>
      <c r="AE183" s="34"/>
      <c r="AF183" s="49"/>
      <c r="AG183" s="50"/>
      <c r="AH183" s="51"/>
      <c r="AI183" s="51"/>
      <c r="AJ183" s="51"/>
      <c r="AK183" s="51"/>
      <c r="AL183" s="51"/>
      <c r="AM183" s="51"/>
      <c r="AN183" s="51">
        <f>AP183*4</f>
        <v>147934.24</v>
      </c>
      <c r="AO183" s="51"/>
      <c r="AP183" s="51">
        <f t="shared" si="170"/>
        <v>36983.56</v>
      </c>
      <c r="AQ183" s="51"/>
      <c r="AR183" s="51">
        <f t="shared" si="171"/>
        <v>52619.01</v>
      </c>
      <c r="AS183" s="51">
        <f t="shared" si="162"/>
        <v>73967.12</v>
      </c>
      <c r="AT183" s="51"/>
      <c r="AU183" s="65"/>
      <c r="AV183" s="54"/>
      <c r="AW183" s="55"/>
      <c r="AX183" s="56">
        <f t="shared" si="163"/>
        <v>147934.24</v>
      </c>
      <c r="AY183" s="56"/>
      <c r="AZ183" s="54"/>
      <c r="BA183" s="54"/>
      <c r="BB183" s="54"/>
      <c r="BC183" s="60"/>
      <c r="BD183" s="54">
        <f t="shared" si="172"/>
        <v>0</v>
      </c>
      <c r="BE183" s="54"/>
      <c r="BF183" s="54"/>
      <c r="BG183" s="54"/>
      <c r="BH183" s="54"/>
      <c r="BI183" s="54"/>
      <c r="BJ183" s="54"/>
      <c r="BK183" s="54"/>
      <c r="BL183" s="54"/>
      <c r="BM183" s="58">
        <f t="shared" si="164"/>
        <v>0</v>
      </c>
      <c r="BN183" s="58"/>
      <c r="BO183" s="54"/>
      <c r="BP183" s="54"/>
      <c r="BQ183" s="66">
        <f t="shared" si="132"/>
        <v>0</v>
      </c>
      <c r="BR183" s="66"/>
      <c r="BS183" s="66">
        <f t="shared" si="128"/>
        <v>0</v>
      </c>
      <c r="BT183" s="58"/>
      <c r="BU183" s="54">
        <f>BM183-BI183</f>
        <v>0</v>
      </c>
      <c r="BV183" s="58"/>
      <c r="BW183" s="58">
        <f t="shared" si="145"/>
        <v>0</v>
      </c>
      <c r="BX183" s="58"/>
      <c r="BY183" s="91"/>
      <c r="BZ183" s="66">
        <f t="shared" si="173"/>
        <v>0</v>
      </c>
      <c r="CA183" s="66"/>
      <c r="CB183" s="54">
        <f t="shared" si="174"/>
        <v>0</v>
      </c>
      <c r="CC183" s="54"/>
      <c r="CD183" s="54">
        <f>BT183-BP183</f>
        <v>0</v>
      </c>
      <c r="CE183" s="54"/>
      <c r="CF183" s="54">
        <f>BU183-BQ183</f>
        <v>0</v>
      </c>
      <c r="CG183" s="132"/>
      <c r="CH183" s="200">
        <f>CB183-BU183</f>
        <v>0</v>
      </c>
      <c r="CI183" s="200"/>
      <c r="CJ183" s="312"/>
      <c r="CK183" s="346">
        <f t="shared" si="138"/>
        <v>0</v>
      </c>
    </row>
    <row r="184" spans="1:89" s="7" customFormat="1" ht="14.25" customHeight="1" thickBot="1" x14ac:dyDescent="0.25">
      <c r="A184" s="6"/>
      <c r="B184" s="347" t="s">
        <v>162</v>
      </c>
      <c r="C184" s="348"/>
      <c r="D184" s="348"/>
      <c r="E184" s="348"/>
      <c r="F184" s="348"/>
      <c r="G184" s="30">
        <f>ROUND(SUM(G179:G183),5)</f>
        <v>97.88</v>
      </c>
      <c r="H184" s="31"/>
      <c r="I184" s="30">
        <f>ROUND(SUM(I179:I183),5)</f>
        <v>17539.689999999999</v>
      </c>
      <c r="J184" s="31"/>
      <c r="K184" s="30">
        <f t="shared" si="165"/>
        <v>-17441.810000000001</v>
      </c>
      <c r="L184" s="31"/>
      <c r="M184" s="32">
        <f t="shared" si="166"/>
        <v>5.5799999999999999E-3</v>
      </c>
      <c r="N184" s="31"/>
      <c r="O184" s="30">
        <f>ROUND(SUM(O179:O183),5)</f>
        <v>23532.44</v>
      </c>
      <c r="P184" s="31"/>
      <c r="Q184" s="30">
        <f>ROUND(SUM(Q179:Q183),5)</f>
        <v>17539.66</v>
      </c>
      <c r="R184" s="31"/>
      <c r="S184" s="30">
        <f t="shared" si="167"/>
        <v>5992.78</v>
      </c>
      <c r="T184" s="31"/>
      <c r="U184" s="32">
        <f t="shared" si="168"/>
        <v>1.3416699999999999</v>
      </c>
      <c r="V184" s="31"/>
      <c r="W184" s="70">
        <f>ROUND(SUM(W179:W183),5)-17747.68-9505</f>
        <v>0</v>
      </c>
      <c r="X184" s="70"/>
      <c r="Y184" s="70">
        <f>ROUND(SUM(Y179:Y183),5)</f>
        <v>17539.66</v>
      </c>
      <c r="Z184" s="70"/>
      <c r="AA184" s="70">
        <f t="shared" si="169"/>
        <v>-17539.66</v>
      </c>
      <c r="AB184" s="70"/>
      <c r="AC184" s="70"/>
      <c r="AD184" s="48">
        <v>236163.23</v>
      </c>
      <c r="AE184" s="48"/>
      <c r="AF184" s="71">
        <v>230433.24</v>
      </c>
      <c r="AG184" s="72"/>
      <c r="AH184" s="73">
        <v>204354.99</v>
      </c>
      <c r="AI184" s="73"/>
      <c r="AJ184" s="73">
        <v>193893.85</v>
      </c>
      <c r="AK184" s="73"/>
      <c r="AL184" s="73">
        <v>210475.95</v>
      </c>
      <c r="AM184" s="73"/>
      <c r="AN184" s="73">
        <v>115729.67</v>
      </c>
      <c r="AO184" s="73"/>
      <c r="AP184" s="73">
        <v>15055</v>
      </c>
      <c r="AQ184" s="73"/>
      <c r="AR184" s="73">
        <f t="shared" si="171"/>
        <v>52619.01</v>
      </c>
      <c r="AS184" s="73">
        <f t="shared" si="162"/>
        <v>30110</v>
      </c>
      <c r="AT184" s="73"/>
      <c r="AU184" s="116"/>
      <c r="AV184" s="222">
        <v>261000</v>
      </c>
      <c r="AW184" s="262"/>
      <c r="AX184" s="263">
        <f t="shared" si="163"/>
        <v>-94746.280000000013</v>
      </c>
      <c r="AY184" s="263"/>
      <c r="AZ184" s="222">
        <v>179405.49</v>
      </c>
      <c r="BA184" s="222"/>
      <c r="BB184" s="222"/>
      <c r="BC184" s="123"/>
      <c r="BD184" s="222">
        <v>290668.44</v>
      </c>
      <c r="BE184" s="222"/>
      <c r="BF184" s="93"/>
      <c r="BG184" s="93">
        <v>191000</v>
      </c>
      <c r="BH184" s="93"/>
      <c r="BI184" s="93">
        <v>131855.12</v>
      </c>
      <c r="BJ184" s="93"/>
      <c r="BK184" s="93">
        <v>470526.43</v>
      </c>
      <c r="BL184" s="93"/>
      <c r="BM184" s="101">
        <f t="shared" si="164"/>
        <v>279526.43</v>
      </c>
      <c r="BN184" s="101"/>
      <c r="BO184" s="93">
        <v>48355.56</v>
      </c>
      <c r="BP184" s="93"/>
      <c r="BQ184" s="102">
        <f>190538.31+65300</f>
        <v>255838.31</v>
      </c>
      <c r="BR184" s="102"/>
      <c r="BS184" s="102">
        <f t="shared" si="128"/>
        <v>-214688.12</v>
      </c>
      <c r="BT184" s="101"/>
      <c r="BU184" s="93">
        <f>230313.44+5040.16+60000-2500+13000</f>
        <v>305853.59999999998</v>
      </c>
      <c r="BV184" s="101"/>
      <c r="BW184" s="101">
        <f t="shared" si="145"/>
        <v>-164672.83000000002</v>
      </c>
      <c r="BX184" s="101"/>
      <c r="BY184" s="264" t="s">
        <v>218</v>
      </c>
      <c r="BZ184" s="102">
        <v>219384.37</v>
      </c>
      <c r="CA184" s="102"/>
      <c r="CB184" s="93">
        <f>230313.44+5040.16+60000-2500+13000-1407.81+2500-6200+67700-19128.73</f>
        <v>349317.06</v>
      </c>
      <c r="CC184" s="93"/>
      <c r="CD184" s="93">
        <v>76802.759999999995</v>
      </c>
      <c r="CE184" s="93"/>
      <c r="CF184" s="93">
        <f>89114.37+5000+1000+44547.72-58639.24+20000+24298.4-20000+56139.24</f>
        <v>161460.49</v>
      </c>
      <c r="CG184" s="131"/>
      <c r="CH184" s="285">
        <f>CF184-CB184</f>
        <v>-187856.57</v>
      </c>
      <c r="CI184" s="285"/>
      <c r="CJ184" s="300" t="s">
        <v>240</v>
      </c>
      <c r="CK184" s="346">
        <f t="shared" si="138"/>
        <v>13455.040833333333</v>
      </c>
    </row>
    <row r="185" spans="1:89" s="7" customFormat="1" ht="18.75" customHeight="1" thickBot="1" x14ac:dyDescent="0.25">
      <c r="A185" s="8" t="s">
        <v>150</v>
      </c>
      <c r="B185" s="349" t="s">
        <v>217</v>
      </c>
      <c r="C185" s="350"/>
      <c r="D185" s="350"/>
      <c r="E185" s="350"/>
      <c r="F185" s="350"/>
      <c r="G185" s="265"/>
      <c r="H185" s="265"/>
      <c r="I185" s="265"/>
      <c r="J185" s="265"/>
      <c r="K185" s="265"/>
      <c r="L185" s="265"/>
      <c r="M185" s="265"/>
      <c r="N185" s="265"/>
      <c r="O185" s="265"/>
      <c r="P185" s="265"/>
      <c r="Q185" s="265"/>
      <c r="R185" s="265"/>
      <c r="S185" s="265"/>
      <c r="T185" s="265"/>
      <c r="U185" s="265"/>
      <c r="V185" s="265"/>
      <c r="W185" s="70" t="e">
        <f>W184+W178+#REF!+W177+W132+W123+W93+W13+W8+W3</f>
        <v>#REF!</v>
      </c>
      <c r="X185" s="70"/>
      <c r="Y185" s="70" t="e">
        <f>Y184+Y178+#REF!+Y177+Y132+Y123+Y93+Y13+Y8+Y3</f>
        <v>#REF!</v>
      </c>
      <c r="Z185" s="70"/>
      <c r="AA185" s="70"/>
      <c r="AB185" s="70"/>
      <c r="AC185" s="70"/>
      <c r="AD185" s="98" t="e">
        <f>AD184+AD178+#REF!+AD177+AD132+AD123+AD93+AD13+AD8+AD3</f>
        <v>#REF!</v>
      </c>
      <c r="AE185" s="98"/>
      <c r="AF185" s="266" t="e">
        <f>AF184+AF178+#REF!+AF177+AF132+AF123+AF93+AF13+AF8+AF3+AF117+AF31+AF118+AF25</f>
        <v>#REF!</v>
      </c>
      <c r="AG185" s="104"/>
      <c r="AH185" s="267" t="e">
        <f>AH184+AH178+#REF!+AH177+AH132+AH123+AH93+AH13+AH8+AH3</f>
        <v>#REF!</v>
      </c>
      <c r="AI185" s="267"/>
      <c r="AJ185" s="267" t="e">
        <f>AJ184+AJ178+#REF!+AJ177+AJ132+AJ123+AJ93+AJ13+AJ8+AJ3+AJ117+AJ31+AJ118+AJ25</f>
        <v>#REF!</v>
      </c>
      <c r="AK185" s="267"/>
      <c r="AL185" s="267" t="e">
        <f>AL184+AL178+#REF!+AL177+AL132+AL123+AL93+AL13+AL8+AL3</f>
        <v>#REF!</v>
      </c>
      <c r="AM185" s="267"/>
      <c r="AN185" s="267" t="e">
        <f>AN184+AN178+#REF!+AN177+AN132+AN123+AN93+AN13+AN8+AN3+AN117+AN31+AN118+AN25</f>
        <v>#REF!</v>
      </c>
      <c r="AO185" s="267"/>
      <c r="AP185" s="267" t="e">
        <f>AP184+AP178+#REF!+AP177+AP132+AP123+AP93+AP13+AP8+AP3+AP117</f>
        <v>#REF!</v>
      </c>
      <c r="AQ185" s="267"/>
      <c r="AR185" s="267" t="e">
        <f>AR184+AR178+#REF!+AR177+AR132+AR123+AR93+AR13+AR8+AR3+AR117</f>
        <v>#REF!</v>
      </c>
      <c r="AS185" s="267" t="e">
        <f t="shared" si="162"/>
        <v>#REF!</v>
      </c>
      <c r="AT185" s="267"/>
      <c r="AU185" s="268"/>
      <c r="AV185" s="269" t="e">
        <f>AV184+AV178+AV29+#REF!+AV177+AV132+AV123+AV93+AV33+AV13+AV8+AV3</f>
        <v>#REF!</v>
      </c>
      <c r="AW185" s="270"/>
      <c r="AX185" s="271" t="e">
        <f t="shared" si="163"/>
        <v>#REF!</v>
      </c>
      <c r="AY185" s="271"/>
      <c r="AZ185" s="269" t="e">
        <f>AZ184+AZ178+#REF!+AZ177+AZ132+AZ123+AZ93+AZ13+AZ8+AZ3+AZ117+AZ31+AZ118+AZ25</f>
        <v>#REF!</v>
      </c>
      <c r="BA185" s="269"/>
      <c r="BB185" s="269"/>
      <c r="BC185" s="272"/>
      <c r="BD185" s="269" t="e">
        <f>BD184+BD178+BD29+#REF!+BD177+BD132+BD123+BD93+BD33+BD13+BD8+BD3</f>
        <v>#REF!</v>
      </c>
      <c r="BE185" s="269" t="e">
        <f>BE184+BE178+BE29+#REF!+BE177+BE132+BE123+BE93+BE33+BE13+BE8+BE3</f>
        <v>#REF!</v>
      </c>
      <c r="BF185" s="243" t="e">
        <f>BF184+BF178+BF29+#REF!+BF177+BF132+BF123+BF93+BF33+BF13+BF8+BF3</f>
        <v>#REF!</v>
      </c>
      <c r="BG185" s="243" t="e">
        <f>BG184+BG178+#REF!+BG177+BG132+BG123+BG93+BG33+BG13+BG8+BG3</f>
        <v>#REF!</v>
      </c>
      <c r="BH185" s="243" t="e">
        <f>BH184+BH178+BH29+#REF!+BH177+BH132+BH123+BH93+BH33+BH13+BH8+BH3</f>
        <v>#REF!</v>
      </c>
      <c r="BI185" s="243" t="e">
        <f>BI184+BI178+BI29+#REF!+BI177+BI132+BI123+BI93+BI33+BI13+BI8+BI3</f>
        <v>#REF!</v>
      </c>
      <c r="BJ185" s="243" t="e">
        <f>BJ184+BJ178+BJ29+#REF!+BJ177+BJ132+BJ123+BJ93+BJ33+BJ13+BJ8+BJ3</f>
        <v>#REF!</v>
      </c>
      <c r="BK185" s="243" t="e">
        <f>BK184+BK178+BK121+#REF!+BK177+BK132+BK123+BK93+BK33+BK18+BK14</f>
        <v>#REF!</v>
      </c>
      <c r="BL185" s="243" t="e">
        <f>BL184+BL178+BL29+#REF!+BL177+BL132+BL123+BL93+BL33+BL13+BL8+BL3</f>
        <v>#REF!</v>
      </c>
      <c r="BM185" s="243" t="e">
        <f>BM184+BM178+#REF!+BM177+BM132+BM123+BM93+BM33+BM13+BM8+BM3</f>
        <v>#REF!</v>
      </c>
      <c r="BN185" s="243"/>
      <c r="BO185" s="243" t="e">
        <f>BO184+BO178+#REF!+BO177+BO132+BO123+BO93+BO33+BO13+BO8+BO3+BO121+BO18</f>
        <v>#REF!</v>
      </c>
      <c r="BP185" s="243"/>
      <c r="BQ185" s="243" t="e">
        <f>BQ184+BQ178+BQ121+#REF!+BQ177+BQ132+BQ123+BQ93+BQ33+BQ18+BQ14</f>
        <v>#REF!</v>
      </c>
      <c r="BR185" s="273"/>
      <c r="BS185" s="273" t="e">
        <f t="shared" si="128"/>
        <v>#REF!</v>
      </c>
      <c r="BT185" s="243"/>
      <c r="BU185" s="243" t="e">
        <f>BU184+BU178+BU121+#REF!+BU177+BU132+BU123+BU93+BU33+BU18+BU14</f>
        <v>#REF!</v>
      </c>
      <c r="BV185" s="243"/>
      <c r="BW185" s="243" t="e">
        <f>BW184+BW178+BW121+#REF!+BW177+BW132+BW123+BW93+BW33+BW18+BW14</f>
        <v>#REF!</v>
      </c>
      <c r="BX185" s="243"/>
      <c r="BY185" s="274"/>
      <c r="BZ185" s="243" t="e">
        <f>BZ184+BZ178+BZ121+#REF!+BZ177+BZ132+BZ123+BZ93+BZ33+BZ18+BZ14</f>
        <v>#REF!</v>
      </c>
      <c r="CA185" s="243"/>
      <c r="CB185" s="243" t="e">
        <f>CB184+CB178+CB121+#REF!+CB177+CB132+CB123+CB93+CB33+CB18+CB14</f>
        <v>#REF!</v>
      </c>
      <c r="CC185" s="243"/>
      <c r="CD185" s="243" t="e">
        <f>CD184+CD178+CD121+#REF!+CD177+CD132+CD123+CD93+CD33+CD18+CD14</f>
        <v>#REF!</v>
      </c>
      <c r="CE185" s="243"/>
      <c r="CF185" s="243">
        <f>CF184+CF178+CF177+CF123+CF93+CF33+CF18+CF14</f>
        <v>3558243.0599999996</v>
      </c>
      <c r="CG185" s="275"/>
      <c r="CH185" s="286" t="e">
        <f>CF185-CB185</f>
        <v>#REF!</v>
      </c>
      <c r="CI185" s="286"/>
      <c r="CJ185" s="323"/>
      <c r="CK185" s="346">
        <f t="shared" si="138"/>
        <v>296520.25499999995</v>
      </c>
    </row>
    <row r="186" spans="1:89" ht="21.75" customHeight="1" x14ac:dyDescent="0.2"/>
  </sheetData>
  <mergeCells count="31">
    <mergeCell ref="D85:F85"/>
    <mergeCell ref="C23:F23"/>
    <mergeCell ref="B1:F1"/>
    <mergeCell ref="B2:F2"/>
    <mergeCell ref="B3:F3"/>
    <mergeCell ref="B8:F8"/>
    <mergeCell ref="B13:F13"/>
    <mergeCell ref="D24:F24"/>
    <mergeCell ref="B34:F34"/>
    <mergeCell ref="C35:F35"/>
    <mergeCell ref="C36:F36"/>
    <mergeCell ref="D84:F84"/>
    <mergeCell ref="E99:F99"/>
    <mergeCell ref="E102:F102"/>
    <mergeCell ref="E103:F103"/>
    <mergeCell ref="E107:F107"/>
    <mergeCell ref="C86:F86"/>
    <mergeCell ref="B93:F93"/>
    <mergeCell ref="B94:F94"/>
    <mergeCell ref="E98:F98"/>
    <mergeCell ref="E108:F108"/>
    <mergeCell ref="E109:F109"/>
    <mergeCell ref="E112:F112"/>
    <mergeCell ref="BY112:BY113"/>
    <mergeCell ref="E113:F113"/>
    <mergeCell ref="B184:F184"/>
    <mergeCell ref="B185:F185"/>
    <mergeCell ref="C130:F130"/>
    <mergeCell ref="C117:F117"/>
    <mergeCell ref="C118:F118"/>
    <mergeCell ref="C119:F119"/>
  </mergeCells>
  <conditionalFormatting sqref="BM1:BN1 BP1:BX1">
    <cfRule type="colorScale" priority="4">
      <colorScale>
        <cfvo type="min"/>
        <cfvo type="percentile" val="50"/>
        <cfvo type="max"/>
        <color rgb="FFF8696B"/>
        <color rgb="FFFFEB84"/>
        <color rgb="FF63BE7B"/>
      </colorScale>
    </cfRule>
  </conditionalFormatting>
  <conditionalFormatting sqref="BI1:BJ1">
    <cfRule type="colorScale" priority="3">
      <colorScale>
        <cfvo type="min"/>
        <cfvo type="percentile" val="50"/>
        <cfvo type="max"/>
        <color rgb="FFF8696B"/>
        <color rgb="FFFFEB84"/>
        <color rgb="FF63BE7B"/>
      </colorScale>
    </cfRule>
  </conditionalFormatting>
  <conditionalFormatting sqref="BZ1:CA1">
    <cfRule type="colorScale" priority="2">
      <colorScale>
        <cfvo type="min"/>
        <cfvo type="percentile" val="50"/>
        <cfvo type="max"/>
        <color rgb="FFF8696B"/>
        <color rgb="FFFFEB84"/>
        <color rgb="FF63BE7B"/>
      </colorScale>
    </cfRule>
  </conditionalFormatting>
  <conditionalFormatting sqref="CB1:CI1">
    <cfRule type="colorScale" priority="1">
      <colorScale>
        <cfvo type="min"/>
        <cfvo type="percentile" val="50"/>
        <cfvo type="max"/>
        <color rgb="FFF8696B"/>
        <color rgb="FFFFEB84"/>
        <color rgb="FF63BE7B"/>
      </colorScale>
    </cfRule>
  </conditionalFormatting>
  <printOptions gridLines="1"/>
  <pageMargins left="1.6041666666666667" right="0.89583333333333337" top="0.85416666666666663" bottom="0.83333333333333304" header="0.17" footer="0.17"/>
  <pageSetup orientation="portrait" r:id="rId1"/>
  <headerFooter>
    <oddHeader xml:space="preserve">&amp;C&amp;"Times New Roman,Bold"&amp;12 &amp;18Boone County Fire Protection District
&amp;16 2016 Budget &amp;14
</oddHeader>
  </headerFooter>
  <rowBreaks count="2" manualBreakCount="2">
    <brk id="93" max="16383" man="1"/>
    <brk id="123" min="1" max="8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L198"/>
  <sheetViews>
    <sheetView topLeftCell="B1" workbookViewId="0">
      <pane xSplit="3" ySplit="1" topLeftCell="E129" activePane="bottomRight" state="frozen"/>
      <selection activeCell="B1" sqref="B1"/>
      <selection pane="topRight" activeCell="E1" sqref="E1"/>
      <selection pane="bottomLeft" activeCell="B2" sqref="B2"/>
      <selection pane="bottomRight" activeCell="CL182" sqref="CL182"/>
    </sheetView>
  </sheetViews>
  <sheetFormatPr defaultRowHeight="12.75" x14ac:dyDescent="0.2"/>
  <cols>
    <col min="1" max="1" width="27" style="276" hidden="1" customWidth="1"/>
    <col min="2" max="2" width="2.42578125" style="277" customWidth="1"/>
    <col min="3" max="3" width="2.28515625" style="277" customWidth="1"/>
    <col min="4" max="4" width="4.7109375" style="277" customWidth="1"/>
    <col min="5" max="5" width="32.5703125" style="278" customWidth="1"/>
    <col min="6" max="6" width="26.7109375" style="277" hidden="1" customWidth="1"/>
    <col min="7" max="7" width="1.28515625" style="279" hidden="1" customWidth="1"/>
    <col min="8" max="8" width="2.28515625" style="279" hidden="1" customWidth="1"/>
    <col min="9" max="9" width="10.5703125" style="279" hidden="1" customWidth="1"/>
    <col min="10" max="10" width="2.28515625" style="279" hidden="1" customWidth="1"/>
    <col min="11" max="11" width="12" style="279" hidden="1" customWidth="1"/>
    <col min="12" max="12" width="2.28515625" style="279" hidden="1" customWidth="1"/>
    <col min="13" max="13" width="10.28515625" style="279" hidden="1" customWidth="1"/>
    <col min="14" max="14" width="2.28515625" style="279" hidden="1" customWidth="1"/>
    <col min="15" max="15" width="9.28515625" style="279" hidden="1" customWidth="1"/>
    <col min="16" max="16" width="2.28515625" style="279" hidden="1" customWidth="1"/>
    <col min="17" max="17" width="9.28515625" style="279" hidden="1" customWidth="1"/>
    <col min="18" max="18" width="2.28515625" style="279" hidden="1" customWidth="1"/>
    <col min="19" max="19" width="12" style="279" hidden="1" customWidth="1"/>
    <col min="20" max="20" width="2.28515625" style="279" hidden="1" customWidth="1"/>
    <col min="21" max="21" width="10.28515625" style="279" hidden="1" customWidth="1"/>
    <col min="22" max="22" width="2.28515625" style="279" hidden="1" customWidth="1"/>
    <col min="23" max="23" width="10.140625" style="280" hidden="1" customWidth="1"/>
    <col min="24" max="24" width="1.28515625" style="280" hidden="1" customWidth="1"/>
    <col min="25" max="25" width="14.5703125" style="280" hidden="1" customWidth="1"/>
    <col min="26" max="26" width="2.28515625" style="280" hidden="1" customWidth="1"/>
    <col min="27" max="27" width="12" style="280" hidden="1" customWidth="1"/>
    <col min="28" max="28" width="6.7109375" style="280" hidden="1" customWidth="1"/>
    <col min="29" max="29" width="1" style="280" hidden="1" customWidth="1"/>
    <col min="30" max="30" width="1" style="281" hidden="1" customWidth="1"/>
    <col min="31" max="31" width="5.28515625" style="281" hidden="1" customWidth="1"/>
    <col min="32" max="32" width="12.140625" style="281" hidden="1" customWidth="1"/>
    <col min="33" max="33" width="3.7109375" style="281" hidden="1" customWidth="1"/>
    <col min="34" max="34" width="12.28515625" style="282" hidden="1" customWidth="1"/>
    <col min="35" max="35" width="0.5703125" style="282" hidden="1" customWidth="1"/>
    <col min="36" max="36" width="0.28515625" style="282" hidden="1" customWidth="1"/>
    <col min="37" max="37" width="2" style="282" hidden="1" customWidth="1"/>
    <col min="38" max="38" width="11.85546875" style="282" hidden="1" customWidth="1"/>
    <col min="39" max="39" width="1.140625" style="282" hidden="1" customWidth="1"/>
    <col min="40" max="40" width="12" style="282" hidden="1" customWidth="1"/>
    <col min="41" max="41" width="3.140625" style="282" hidden="1" customWidth="1"/>
    <col min="42" max="42" width="15.28515625" style="282" hidden="1" customWidth="1"/>
    <col min="43" max="43" width="0.85546875" style="282" hidden="1" customWidth="1"/>
    <col min="44" max="45" width="13.7109375" style="282" hidden="1" customWidth="1"/>
    <col min="46" max="46" width="0.7109375" style="282" hidden="1" customWidth="1"/>
    <col min="47" max="47" width="0.5703125" style="7" hidden="1" customWidth="1"/>
    <col min="48" max="48" width="12" style="282" hidden="1" customWidth="1"/>
    <col min="49" max="49" width="0.28515625" style="7" hidden="1" customWidth="1"/>
    <col min="50" max="50" width="1.5703125" style="283" hidden="1" customWidth="1"/>
    <col min="51" max="51" width="0.42578125" style="283" hidden="1" customWidth="1"/>
    <col min="52" max="52" width="11.7109375" style="282" hidden="1" customWidth="1"/>
    <col min="53" max="53" width="0.42578125" style="282" hidden="1" customWidth="1"/>
    <col min="54" max="54" width="1.28515625" style="282" hidden="1" customWidth="1"/>
    <col min="55" max="55" width="0.5703125" style="282" hidden="1" customWidth="1"/>
    <col min="56" max="56" width="12.140625" style="282" hidden="1" customWidth="1"/>
    <col min="57" max="57" width="3.42578125" style="282" hidden="1" customWidth="1"/>
    <col min="58" max="58" width="6.5703125" style="282" hidden="1" customWidth="1"/>
    <col min="59" max="59" width="7.28515625" style="282" hidden="1" customWidth="1"/>
    <col min="60" max="60" width="7.140625" style="282" hidden="1" customWidth="1"/>
    <col min="61" max="61" width="1.5703125" style="282" hidden="1" customWidth="1"/>
    <col min="62" max="62" width="5.7109375" style="282" hidden="1" customWidth="1"/>
    <col min="63" max="63" width="13.42578125" style="282" hidden="1" customWidth="1"/>
    <col min="64" max="64" width="0.42578125" style="282" hidden="1" customWidth="1"/>
    <col min="65" max="65" width="14" style="282" hidden="1" customWidth="1"/>
    <col min="66" max="66" width="2" style="282" hidden="1" customWidth="1"/>
    <col min="67" max="67" width="14" style="282" hidden="1" customWidth="1"/>
    <col min="68" max="68" width="2.28515625" style="282" hidden="1" customWidth="1"/>
    <col min="69" max="69" width="13.42578125" style="282" hidden="1" customWidth="1"/>
    <col min="70" max="70" width="0.42578125" style="282" hidden="1" customWidth="1"/>
    <col min="71" max="71" width="14" style="282" hidden="1" customWidth="1"/>
    <col min="72" max="72" width="2.140625" style="282" hidden="1" customWidth="1"/>
    <col min="73" max="73" width="13.42578125" style="282" hidden="1" customWidth="1"/>
    <col min="74" max="74" width="0.42578125" style="282" hidden="1" customWidth="1"/>
    <col min="75" max="76" width="14" style="282" hidden="1" customWidth="1"/>
    <col min="77" max="77" width="14" style="284" hidden="1" customWidth="1"/>
    <col min="78" max="78" width="13.42578125" style="282" hidden="1" customWidth="1"/>
    <col min="79" max="79" width="0.42578125" style="282" hidden="1" customWidth="1"/>
    <col min="80" max="80" width="13.42578125" style="282" hidden="1" customWidth="1"/>
    <col min="81" max="81" width="0.42578125" style="282" hidden="1" customWidth="1"/>
    <col min="82" max="82" width="13.42578125" style="282" hidden="1" customWidth="1"/>
    <col min="83" max="83" width="4.28515625" style="282" customWidth="1"/>
    <col min="84" max="84" width="16.42578125" style="282" customWidth="1"/>
    <col min="85" max="85" width="4.42578125" style="282" hidden="1" customWidth="1"/>
    <col min="86" max="86" width="13.42578125" style="37" hidden="1" customWidth="1"/>
    <col min="87" max="87" width="0.42578125" style="37" hidden="1" customWidth="1"/>
    <col min="88" max="88" width="1.5703125" style="38" hidden="1" customWidth="1"/>
    <col min="89" max="16384" width="9.140625" style="5"/>
  </cols>
  <sheetData>
    <row r="1" spans="1:90" s="26" customFormat="1" ht="24.75" customHeight="1" thickBot="1" x14ac:dyDescent="0.25">
      <c r="A1" s="9"/>
      <c r="B1" s="357" t="s">
        <v>165</v>
      </c>
      <c r="C1" s="358"/>
      <c r="D1" s="358"/>
      <c r="E1" s="358"/>
      <c r="F1" s="358"/>
      <c r="G1" s="10" t="s">
        <v>0</v>
      </c>
      <c r="H1" s="11"/>
      <c r="I1" s="10" t="s">
        <v>1</v>
      </c>
      <c r="J1" s="11"/>
      <c r="K1" s="10" t="s">
        <v>2</v>
      </c>
      <c r="L1" s="11"/>
      <c r="M1" s="10" t="s">
        <v>3</v>
      </c>
      <c r="N1" s="11"/>
      <c r="O1" s="10" t="s">
        <v>4</v>
      </c>
      <c r="P1" s="11"/>
      <c r="Q1" s="10" t="s">
        <v>1</v>
      </c>
      <c r="R1" s="11"/>
      <c r="S1" s="10" t="s">
        <v>2</v>
      </c>
      <c r="T1" s="11"/>
      <c r="U1" s="10" t="s">
        <v>3</v>
      </c>
      <c r="V1" s="11"/>
      <c r="W1" s="12" t="s">
        <v>147</v>
      </c>
      <c r="X1" s="13"/>
      <c r="Y1" s="14" t="s">
        <v>148</v>
      </c>
      <c r="Z1" s="15"/>
      <c r="AA1" s="14" t="s">
        <v>2</v>
      </c>
      <c r="AB1" s="15"/>
      <c r="AC1" s="15"/>
      <c r="AD1" s="16" t="s">
        <v>153</v>
      </c>
      <c r="AE1" s="17"/>
      <c r="AF1" s="16" t="s">
        <v>171</v>
      </c>
      <c r="AG1" s="16"/>
      <c r="AH1" s="18" t="s">
        <v>154</v>
      </c>
      <c r="AI1" s="18"/>
      <c r="AJ1" s="18" t="s">
        <v>170</v>
      </c>
      <c r="AK1" s="18"/>
      <c r="AL1" s="19" t="s">
        <v>152</v>
      </c>
      <c r="AM1" s="20"/>
      <c r="AN1" s="18" t="s">
        <v>169</v>
      </c>
      <c r="AO1" s="18"/>
      <c r="AP1" s="18" t="s">
        <v>166</v>
      </c>
      <c r="AQ1" s="21"/>
      <c r="AR1" s="18" t="s">
        <v>151</v>
      </c>
      <c r="AS1" s="18"/>
      <c r="AT1" s="21"/>
      <c r="AU1" s="22"/>
      <c r="AV1" s="18" t="s">
        <v>168</v>
      </c>
      <c r="AW1" s="22"/>
      <c r="AX1" s="23" t="s">
        <v>200</v>
      </c>
      <c r="AY1" s="23"/>
      <c r="AZ1" s="18" t="s">
        <v>174</v>
      </c>
      <c r="BA1" s="18"/>
      <c r="BB1" s="18"/>
      <c r="BC1" s="18"/>
      <c r="BD1" s="18" t="s">
        <v>198</v>
      </c>
      <c r="BE1" s="18"/>
      <c r="BF1" s="18"/>
      <c r="BG1" s="18" t="s">
        <v>176</v>
      </c>
      <c r="BH1" s="18" t="s">
        <v>173</v>
      </c>
      <c r="BI1" s="18" t="s">
        <v>197</v>
      </c>
      <c r="BJ1" s="18"/>
      <c r="BK1" s="18" t="s">
        <v>196</v>
      </c>
      <c r="BL1" s="18" t="s">
        <v>173</v>
      </c>
      <c r="BM1" s="18" t="s">
        <v>199</v>
      </c>
      <c r="BN1" s="18"/>
      <c r="BO1" s="24" t="s">
        <v>203</v>
      </c>
      <c r="BP1" s="18"/>
      <c r="BQ1" s="18" t="s">
        <v>219</v>
      </c>
      <c r="BR1" s="18"/>
      <c r="BS1" s="18" t="s">
        <v>202</v>
      </c>
      <c r="BT1" s="18"/>
      <c r="BU1" s="18" t="s">
        <v>220</v>
      </c>
      <c r="BV1" s="18"/>
      <c r="BW1" s="18" t="s">
        <v>213</v>
      </c>
      <c r="BX1" s="18"/>
      <c r="BY1" s="25" t="s">
        <v>172</v>
      </c>
      <c r="BZ1" s="18" t="s">
        <v>234</v>
      </c>
      <c r="CA1" s="18"/>
      <c r="CB1" s="18" t="s">
        <v>227</v>
      </c>
      <c r="CC1" s="18"/>
      <c r="CD1" s="18" t="s">
        <v>235</v>
      </c>
      <c r="CE1" s="18"/>
      <c r="CF1" s="18" t="s">
        <v>236</v>
      </c>
      <c r="CG1" s="18"/>
      <c r="CH1" s="23" t="s">
        <v>232</v>
      </c>
      <c r="CI1" s="23"/>
      <c r="CJ1" s="291" t="s">
        <v>233</v>
      </c>
    </row>
    <row r="2" spans="1:90" ht="15" customHeight="1" x14ac:dyDescent="0.2">
      <c r="A2" s="4"/>
      <c r="B2" s="347" t="s">
        <v>164</v>
      </c>
      <c r="C2" s="348"/>
      <c r="D2" s="348"/>
      <c r="E2" s="348"/>
      <c r="F2" s="348"/>
      <c r="G2" s="30"/>
      <c r="H2" s="31"/>
      <c r="I2" s="30"/>
      <c r="J2" s="31"/>
      <c r="K2" s="30"/>
      <c r="L2" s="31"/>
      <c r="M2" s="32"/>
      <c r="N2" s="31"/>
      <c r="O2" s="30"/>
      <c r="P2" s="31"/>
      <c r="Q2" s="30"/>
      <c r="R2" s="31"/>
      <c r="S2" s="30"/>
      <c r="T2" s="31"/>
      <c r="U2" s="32"/>
      <c r="V2" s="31"/>
      <c r="W2" s="33"/>
      <c r="X2" s="33"/>
      <c r="Y2" s="33"/>
      <c r="Z2" s="33"/>
      <c r="AA2" s="33"/>
      <c r="AB2" s="33"/>
      <c r="AC2" s="33"/>
      <c r="AD2" s="34"/>
      <c r="AE2" s="34"/>
      <c r="AF2" s="39"/>
      <c r="AG2" s="40"/>
      <c r="AH2" s="41"/>
      <c r="AI2" s="41"/>
      <c r="AJ2" s="41"/>
      <c r="AK2" s="41"/>
      <c r="AL2" s="41"/>
      <c r="AM2" s="41"/>
      <c r="AN2" s="41"/>
      <c r="AO2" s="41"/>
      <c r="AP2" s="41"/>
      <c r="AQ2" s="41"/>
      <c r="AR2" s="41"/>
      <c r="AS2" s="41"/>
      <c r="AT2" s="41"/>
      <c r="AU2" s="42"/>
      <c r="AV2" s="43"/>
      <c r="AW2" s="44"/>
      <c r="AX2" s="45"/>
      <c r="AY2" s="45"/>
      <c r="AZ2" s="43"/>
      <c r="BA2" s="43"/>
      <c r="BB2" s="43"/>
      <c r="BC2" s="43"/>
      <c r="BD2" s="43"/>
      <c r="BE2" s="43"/>
      <c r="BF2" s="43"/>
      <c r="BG2" s="43"/>
      <c r="BH2" s="46"/>
      <c r="BI2" s="46"/>
      <c r="BJ2" s="46"/>
      <c r="BK2" s="43"/>
      <c r="BL2" s="46"/>
      <c r="BM2" s="46"/>
      <c r="BN2" s="46"/>
      <c r="BO2" s="46"/>
      <c r="BP2" s="46"/>
      <c r="BQ2" s="46"/>
      <c r="BR2" s="46"/>
      <c r="BS2" s="46"/>
      <c r="BT2" s="46"/>
      <c r="BU2" s="46"/>
      <c r="BV2" s="46"/>
      <c r="BW2" s="46"/>
      <c r="BX2" s="46"/>
      <c r="BY2" s="47"/>
      <c r="BZ2" s="46"/>
      <c r="CA2" s="46"/>
      <c r="CB2" s="46"/>
      <c r="CC2" s="35"/>
      <c r="CD2" s="35"/>
      <c r="CE2" s="35"/>
      <c r="CF2" s="46"/>
      <c r="CG2" s="35"/>
      <c r="CJ2" s="292"/>
    </row>
    <row r="3" spans="1:90" ht="16.5" customHeight="1" thickBot="1" x14ac:dyDescent="0.25">
      <c r="A3" s="4"/>
      <c r="B3" s="347" t="s">
        <v>229</v>
      </c>
      <c r="C3" s="348"/>
      <c r="D3" s="348"/>
      <c r="E3" s="348"/>
      <c r="F3" s="348"/>
      <c r="G3" s="30">
        <v>67481.98</v>
      </c>
      <c r="H3" s="31"/>
      <c r="I3" s="30">
        <v>84653.28</v>
      </c>
      <c r="J3" s="31"/>
      <c r="K3" s="30">
        <f>ROUND((G3-I3),5)</f>
        <v>-17171.3</v>
      </c>
      <c r="L3" s="31"/>
      <c r="M3" s="32">
        <f>ROUND(IF(I3=0, IF(G3=0, 0, 1), G3/I3),5)</f>
        <v>0.79715999999999998</v>
      </c>
      <c r="N3" s="31"/>
      <c r="O3" s="30">
        <v>68529.960000000006</v>
      </c>
      <c r="P3" s="31"/>
      <c r="Q3" s="30">
        <v>84653.31</v>
      </c>
      <c r="R3" s="31"/>
      <c r="S3" s="30">
        <f>ROUND((O3-Q3),5)</f>
        <v>-16123.35</v>
      </c>
      <c r="T3" s="31"/>
      <c r="U3" s="32">
        <f>ROUND(IF(Q3=0, IF(O3=0, 0, 1), O3/Q3),5)</f>
        <v>0.80954000000000004</v>
      </c>
      <c r="V3" s="31"/>
      <c r="W3" s="33">
        <v>68269.460000000006</v>
      </c>
      <c r="X3" s="33"/>
      <c r="Y3" s="33">
        <v>84653.31</v>
      </c>
      <c r="Z3" s="33"/>
      <c r="AA3" s="33">
        <f>ROUND((W3-Y3),5)</f>
        <v>-16383.85</v>
      </c>
      <c r="AB3" s="33"/>
      <c r="AC3" s="33"/>
      <c r="AD3" s="34">
        <v>868547.73</v>
      </c>
      <c r="AE3" s="48"/>
      <c r="AF3" s="49">
        <v>887638.84</v>
      </c>
      <c r="AG3" s="50"/>
      <c r="AH3" s="51">
        <v>918646.38</v>
      </c>
      <c r="AI3" s="51"/>
      <c r="AJ3" s="51">
        <v>822179.8</v>
      </c>
      <c r="AK3" s="51"/>
      <c r="AL3" s="51">
        <v>1015839.69</v>
      </c>
      <c r="AM3" s="51"/>
      <c r="AN3" s="51">
        <v>891940.86</v>
      </c>
      <c r="AO3" s="51"/>
      <c r="AP3" s="52">
        <v>443229.46</v>
      </c>
      <c r="AQ3" s="51"/>
      <c r="AR3" s="51">
        <v>507919.83</v>
      </c>
      <c r="AS3" s="51">
        <f>AP3*2</f>
        <v>886458.92</v>
      </c>
      <c r="AT3" s="51"/>
      <c r="AU3" s="53"/>
      <c r="AV3" s="54">
        <v>1069569.51</v>
      </c>
      <c r="AW3" s="55"/>
      <c r="AX3" s="56">
        <f>AN3-AL3</f>
        <v>-123898.82999999996</v>
      </c>
      <c r="AY3" s="56"/>
      <c r="AZ3" s="57">
        <v>493390.45</v>
      </c>
      <c r="BA3" s="54"/>
      <c r="BB3" s="54"/>
      <c r="BC3" s="54"/>
      <c r="BD3" s="54">
        <v>1015127.43</v>
      </c>
      <c r="BE3" s="54"/>
      <c r="BF3" s="54"/>
      <c r="BG3" s="54">
        <f>1142895.7+15243.21</f>
        <v>1158138.9099999999</v>
      </c>
      <c r="BH3" s="54"/>
      <c r="BI3" s="57">
        <v>1036247.24</v>
      </c>
      <c r="BJ3" s="54"/>
      <c r="BK3" s="54">
        <v>1044927.38</v>
      </c>
      <c r="BL3" s="54"/>
      <c r="BM3" s="58">
        <f>BK3-BG3</f>
        <v>-113211.52999999991</v>
      </c>
      <c r="BN3" s="58"/>
      <c r="BO3" s="57">
        <v>504963.69</v>
      </c>
      <c r="BP3" s="57"/>
      <c r="BQ3" s="57">
        <v>984843.59</v>
      </c>
      <c r="BR3" s="57"/>
      <c r="BS3" s="57">
        <f>BQ3-BK3</f>
        <v>-60083.790000000037</v>
      </c>
      <c r="BT3" s="58"/>
      <c r="BU3" s="54">
        <v>1095717.93</v>
      </c>
      <c r="BV3" s="58"/>
      <c r="BW3" s="58">
        <f>BU3-BK3</f>
        <v>50790.54999999993</v>
      </c>
      <c r="BX3" s="58"/>
      <c r="BY3" s="59" t="s">
        <v>241</v>
      </c>
      <c r="BZ3" s="57">
        <v>1046026.36</v>
      </c>
      <c r="CA3" s="57"/>
      <c r="CB3" s="54">
        <v>1169290.6000000001</v>
      </c>
      <c r="CC3" s="54"/>
      <c r="CD3" s="54">
        <v>948903.28</v>
      </c>
      <c r="CE3" s="54"/>
      <c r="CF3" s="54">
        <v>1150126.67</v>
      </c>
      <c r="CG3" s="60"/>
      <c r="CH3" s="61">
        <f>CF3-CB3</f>
        <v>-19163.930000000168</v>
      </c>
      <c r="CI3" s="200"/>
      <c r="CJ3" s="293" t="s">
        <v>315</v>
      </c>
    </row>
    <row r="4" spans="1:90" ht="18.75" hidden="1" customHeight="1" x14ac:dyDescent="0.2">
      <c r="A4" s="4"/>
      <c r="B4" s="62"/>
      <c r="C4" s="63"/>
      <c r="D4" s="63"/>
      <c r="E4" s="64"/>
      <c r="F4" s="63"/>
      <c r="G4" s="30"/>
      <c r="H4" s="31"/>
      <c r="I4" s="30"/>
      <c r="J4" s="31"/>
      <c r="K4" s="30"/>
      <c r="L4" s="31"/>
      <c r="M4" s="32"/>
      <c r="N4" s="31"/>
      <c r="O4" s="30"/>
      <c r="P4" s="31"/>
      <c r="Q4" s="30"/>
      <c r="R4" s="31"/>
      <c r="S4" s="30"/>
      <c r="T4" s="31"/>
      <c r="U4" s="32"/>
      <c r="V4" s="31"/>
      <c r="W4" s="33"/>
      <c r="X4" s="33"/>
      <c r="Y4" s="33"/>
      <c r="Z4" s="33"/>
      <c r="AA4" s="33"/>
      <c r="AB4" s="33"/>
      <c r="AC4" s="33"/>
      <c r="AD4" s="34"/>
      <c r="AE4" s="34"/>
      <c r="AF4" s="49"/>
      <c r="AG4" s="50"/>
      <c r="AH4" s="51"/>
      <c r="AI4" s="51"/>
      <c r="AJ4" s="51"/>
      <c r="AK4" s="51"/>
      <c r="AL4" s="51"/>
      <c r="AM4" s="51"/>
      <c r="AN4" s="51"/>
      <c r="AO4" s="51"/>
      <c r="AP4" s="52"/>
      <c r="AQ4" s="51"/>
      <c r="AR4" s="51"/>
      <c r="AS4" s="51"/>
      <c r="AT4" s="51"/>
      <c r="AU4" s="65"/>
      <c r="AV4" s="54"/>
      <c r="AW4" s="55"/>
      <c r="AX4" s="56"/>
      <c r="AY4" s="56"/>
      <c r="AZ4" s="54"/>
      <c r="BA4" s="54"/>
      <c r="BB4" s="54"/>
      <c r="BC4" s="54"/>
      <c r="BD4" s="54"/>
      <c r="BE4" s="54"/>
      <c r="BF4" s="54"/>
      <c r="BG4" s="54"/>
      <c r="BH4" s="54"/>
      <c r="BI4" s="57"/>
      <c r="BJ4" s="54"/>
      <c r="BK4" s="54"/>
      <c r="BL4" s="54"/>
      <c r="BM4" s="58"/>
      <c r="BN4" s="58"/>
      <c r="BO4" s="66"/>
      <c r="BP4" s="66"/>
      <c r="BQ4" s="66"/>
      <c r="BR4" s="66"/>
      <c r="BS4" s="66"/>
      <c r="BT4" s="58"/>
      <c r="BU4" s="54"/>
      <c r="BV4" s="58"/>
      <c r="BW4" s="58"/>
      <c r="BX4" s="58"/>
      <c r="BY4" s="59"/>
      <c r="BZ4" s="66"/>
      <c r="CA4" s="66"/>
      <c r="CB4" s="54"/>
      <c r="CC4" s="54"/>
      <c r="CD4" s="54"/>
      <c r="CE4" s="54"/>
      <c r="CF4" s="54"/>
      <c r="CG4" s="60"/>
      <c r="CH4" s="61"/>
      <c r="CI4" s="200"/>
      <c r="CJ4" s="294"/>
    </row>
    <row r="5" spans="1:90" ht="16.5" hidden="1" customHeight="1" x14ac:dyDescent="0.2">
      <c r="A5" s="4"/>
      <c r="B5" s="27"/>
      <c r="C5" s="28" t="s">
        <v>6</v>
      </c>
      <c r="D5" s="28"/>
      <c r="E5" s="29"/>
      <c r="F5" s="28"/>
      <c r="G5" s="30">
        <v>1059.52</v>
      </c>
      <c r="H5" s="31"/>
      <c r="I5" s="30">
        <v>1250</v>
      </c>
      <c r="J5" s="31"/>
      <c r="K5" s="30">
        <f>ROUND((G5-I5),5)</f>
        <v>-190.48</v>
      </c>
      <c r="L5" s="31"/>
      <c r="M5" s="32">
        <f>ROUND(IF(I5=0, IF(G5=0, 0, 1), G5/I5),5)</f>
        <v>0.84762000000000004</v>
      </c>
      <c r="N5" s="31"/>
      <c r="O5" s="30">
        <v>1074.4100000000001</v>
      </c>
      <c r="P5" s="31"/>
      <c r="Q5" s="30">
        <v>1250</v>
      </c>
      <c r="R5" s="31"/>
      <c r="S5" s="30">
        <f>ROUND((O5-Q5),5)</f>
        <v>-175.59</v>
      </c>
      <c r="T5" s="31"/>
      <c r="U5" s="32">
        <f>ROUND(IF(Q5=0, IF(O5=0, 0, 1), O5/Q5),5)</f>
        <v>0.85953000000000002</v>
      </c>
      <c r="V5" s="31"/>
      <c r="W5" s="33">
        <v>1071.3800000000001</v>
      </c>
      <c r="X5" s="33"/>
      <c r="Y5" s="33">
        <v>1250</v>
      </c>
      <c r="Z5" s="33"/>
      <c r="AA5" s="33">
        <f>ROUND((W5-Y5),5)</f>
        <v>-178.62</v>
      </c>
      <c r="AB5" s="33"/>
      <c r="AC5" s="33"/>
      <c r="AD5" s="34">
        <v>13000</v>
      </c>
      <c r="AE5" s="34"/>
      <c r="AF5" s="49">
        <v>11370.8</v>
      </c>
      <c r="AG5" s="50"/>
      <c r="AH5" s="51">
        <v>3000</v>
      </c>
      <c r="AI5" s="51"/>
      <c r="AJ5" s="51">
        <v>13600.04</v>
      </c>
      <c r="AK5" s="51"/>
      <c r="AL5" s="51">
        <v>15000</v>
      </c>
      <c r="AM5" s="51"/>
      <c r="AN5" s="51">
        <v>16663.79</v>
      </c>
      <c r="AO5" s="51"/>
      <c r="AP5" s="52">
        <v>9631.59</v>
      </c>
      <c r="AQ5" s="51"/>
      <c r="AR5" s="51">
        <v>7500</v>
      </c>
      <c r="AS5" s="51">
        <f t="shared" ref="AS5:AS8" si="0">AP5*2</f>
        <v>19263.18</v>
      </c>
      <c r="AT5" s="51"/>
      <c r="AU5" s="65"/>
      <c r="AV5" s="54">
        <v>20000</v>
      </c>
      <c r="AW5" s="55"/>
      <c r="AX5" s="56">
        <f>AN5-AL5</f>
        <v>1663.7900000000009</v>
      </c>
      <c r="AY5" s="56"/>
      <c r="AZ5" s="57">
        <v>8294.92</v>
      </c>
      <c r="BA5" s="54"/>
      <c r="BB5" s="54"/>
      <c r="BC5" s="54"/>
      <c r="BD5" s="54">
        <f>AZ5*2</f>
        <v>16589.84</v>
      </c>
      <c r="BE5" s="54"/>
      <c r="BF5" s="54"/>
      <c r="BG5" s="54">
        <v>20000</v>
      </c>
      <c r="BH5" s="54"/>
      <c r="BI5" s="57">
        <v>18609.32</v>
      </c>
      <c r="BJ5" s="54"/>
      <c r="BK5" s="54">
        <v>20000</v>
      </c>
      <c r="BL5" s="54"/>
      <c r="BM5" s="58">
        <f>BK5-BG5</f>
        <v>0</v>
      </c>
      <c r="BN5" s="58"/>
      <c r="BO5" s="66">
        <v>9995.19</v>
      </c>
      <c r="BP5" s="66"/>
      <c r="BQ5" s="66"/>
      <c r="BR5" s="66"/>
      <c r="BS5" s="66">
        <f t="shared" ref="BS5:BS65" si="1">BQ5-BK5</f>
        <v>-20000</v>
      </c>
      <c r="BT5" s="58"/>
      <c r="BU5" s="54">
        <v>20000</v>
      </c>
      <c r="BV5" s="58"/>
      <c r="BW5" s="58">
        <f t="shared" ref="BW5:BW7" si="2">BU5-BK5</f>
        <v>0</v>
      </c>
      <c r="BX5" s="58"/>
      <c r="BY5" s="67" t="s">
        <v>204</v>
      </c>
      <c r="BZ5" s="66">
        <f>BX5*2</f>
        <v>0</v>
      </c>
      <c r="CA5" s="66"/>
      <c r="CB5" s="54">
        <v>20000</v>
      </c>
      <c r="CC5" s="54"/>
      <c r="CD5" s="54"/>
      <c r="CE5" s="54"/>
      <c r="CF5" s="54">
        <v>20000</v>
      </c>
      <c r="CG5" s="60"/>
      <c r="CH5" s="61"/>
      <c r="CI5" s="200"/>
      <c r="CJ5" s="294"/>
    </row>
    <row r="6" spans="1:90" ht="18.75" hidden="1" customHeight="1" x14ac:dyDescent="0.2">
      <c r="A6" s="4"/>
      <c r="B6" s="27"/>
      <c r="C6" s="28" t="s">
        <v>7</v>
      </c>
      <c r="D6" s="28"/>
      <c r="E6" s="29"/>
      <c r="F6" s="28"/>
      <c r="G6" s="30">
        <v>0</v>
      </c>
      <c r="H6" s="31"/>
      <c r="I6" s="30">
        <v>666.63</v>
      </c>
      <c r="J6" s="31"/>
      <c r="K6" s="30">
        <f>ROUND((G6-I6),5)</f>
        <v>-666.63</v>
      </c>
      <c r="L6" s="31"/>
      <c r="M6" s="32">
        <f>ROUND(IF(I6=0, IF(G6=0, 0, 1), G6/I6),5)</f>
        <v>0</v>
      </c>
      <c r="N6" s="31"/>
      <c r="O6" s="30">
        <v>0</v>
      </c>
      <c r="P6" s="31"/>
      <c r="Q6" s="30">
        <v>666.67</v>
      </c>
      <c r="R6" s="31"/>
      <c r="S6" s="30">
        <f>ROUND((O6-Q6),5)</f>
        <v>-666.67</v>
      </c>
      <c r="T6" s="31"/>
      <c r="U6" s="32">
        <f>ROUND(IF(Q6=0, IF(O6=0, 0, 1), O6/Q6),5)</f>
        <v>0</v>
      </c>
      <c r="V6" s="31"/>
      <c r="W6" s="33">
        <v>0</v>
      </c>
      <c r="X6" s="33"/>
      <c r="Y6" s="33">
        <v>666.67</v>
      </c>
      <c r="Z6" s="33"/>
      <c r="AA6" s="33">
        <f>ROUND((W6-Y6),5)</f>
        <v>-666.67</v>
      </c>
      <c r="AB6" s="33"/>
      <c r="AC6" s="33"/>
      <c r="AD6" s="34">
        <v>500</v>
      </c>
      <c r="AE6" s="34"/>
      <c r="AF6" s="49">
        <v>308.61</v>
      </c>
      <c r="AG6" s="50"/>
      <c r="AH6" s="51">
        <v>10000</v>
      </c>
      <c r="AI6" s="51"/>
      <c r="AJ6" s="51">
        <v>8015.64</v>
      </c>
      <c r="AK6" s="51"/>
      <c r="AL6" s="51">
        <v>8000</v>
      </c>
      <c r="AM6" s="51"/>
      <c r="AN6" s="51">
        <v>0</v>
      </c>
      <c r="AO6" s="51"/>
      <c r="AP6" s="52">
        <v>0</v>
      </c>
      <c r="AQ6" s="51"/>
      <c r="AR6" s="51">
        <v>3999.98</v>
      </c>
      <c r="AS6" s="51">
        <f t="shared" si="0"/>
        <v>0</v>
      </c>
      <c r="AT6" s="51"/>
      <c r="AU6" s="65"/>
      <c r="AV6" s="54">
        <v>0</v>
      </c>
      <c r="AW6" s="55"/>
      <c r="AX6" s="56">
        <f>AN6-AL6</f>
        <v>-8000</v>
      </c>
      <c r="AY6" s="56"/>
      <c r="AZ6" s="54"/>
      <c r="BA6" s="54"/>
      <c r="BB6" s="54"/>
      <c r="BC6" s="54"/>
      <c r="BD6" s="54"/>
      <c r="BE6" s="54"/>
      <c r="BF6" s="54"/>
      <c r="BG6" s="54">
        <v>0</v>
      </c>
      <c r="BH6" s="54"/>
      <c r="BI6" s="54"/>
      <c r="BJ6" s="54"/>
      <c r="BK6" s="54">
        <v>0</v>
      </c>
      <c r="BL6" s="54"/>
      <c r="BM6" s="58">
        <v>0</v>
      </c>
      <c r="BN6" s="58"/>
      <c r="BO6" s="66">
        <v>0</v>
      </c>
      <c r="BP6" s="66"/>
      <c r="BQ6" s="66">
        <f t="shared" ref="BQ6:BQ7" si="3">BO6*2</f>
        <v>0</v>
      </c>
      <c r="BR6" s="66"/>
      <c r="BS6" s="66">
        <f t="shared" si="1"/>
        <v>0</v>
      </c>
      <c r="BT6" s="58"/>
      <c r="BU6" s="54">
        <v>0</v>
      </c>
      <c r="BV6" s="58"/>
      <c r="BW6" s="58">
        <f t="shared" si="2"/>
        <v>0</v>
      </c>
      <c r="BX6" s="58"/>
      <c r="BY6" s="59"/>
      <c r="BZ6" s="66">
        <f>BX6*2</f>
        <v>0</v>
      </c>
      <c r="CA6" s="66"/>
      <c r="CB6" s="54">
        <v>0</v>
      </c>
      <c r="CC6" s="54"/>
      <c r="CD6" s="54"/>
      <c r="CE6" s="54"/>
      <c r="CF6" s="54">
        <v>0</v>
      </c>
      <c r="CG6" s="60"/>
      <c r="CH6" s="61"/>
      <c r="CI6" s="200"/>
      <c r="CJ6" s="294"/>
    </row>
    <row r="7" spans="1:90" ht="18.75" hidden="1" customHeight="1" thickBot="1" x14ac:dyDescent="0.25">
      <c r="A7" s="4"/>
      <c r="B7" s="27"/>
      <c r="C7" s="28" t="s">
        <v>8</v>
      </c>
      <c r="D7" s="28"/>
      <c r="E7" s="29"/>
      <c r="F7" s="28"/>
      <c r="G7" s="68">
        <v>1866.26</v>
      </c>
      <c r="H7" s="31"/>
      <c r="I7" s="68">
        <v>725</v>
      </c>
      <c r="J7" s="31"/>
      <c r="K7" s="68">
        <f>ROUND((G7-I7),5)</f>
        <v>1141.26</v>
      </c>
      <c r="L7" s="31"/>
      <c r="M7" s="69">
        <f>ROUND(IF(I7=0, IF(G7=0, 0, 1), G7/I7),5)</f>
        <v>2.5741499999999999</v>
      </c>
      <c r="N7" s="31"/>
      <c r="O7" s="68">
        <v>1467.38</v>
      </c>
      <c r="P7" s="31"/>
      <c r="Q7" s="68">
        <v>725</v>
      </c>
      <c r="R7" s="31"/>
      <c r="S7" s="68">
        <f>ROUND((O7-Q7),5)</f>
        <v>742.38</v>
      </c>
      <c r="T7" s="31"/>
      <c r="U7" s="69">
        <f>ROUND(IF(Q7=0, IF(O7=0, 0, 1), O7/Q7),5)</f>
        <v>2.0239699999999998</v>
      </c>
      <c r="V7" s="31"/>
      <c r="W7" s="70">
        <v>809.31</v>
      </c>
      <c r="X7" s="33"/>
      <c r="Y7" s="70">
        <v>725</v>
      </c>
      <c r="Z7" s="33"/>
      <c r="AA7" s="70">
        <f>ROUND((W7-Y7),5)</f>
        <v>84.31</v>
      </c>
      <c r="AB7" s="33"/>
      <c r="AC7" s="33"/>
      <c r="AD7" s="34">
        <v>3800</v>
      </c>
      <c r="AE7" s="34"/>
      <c r="AF7" s="71">
        <v>3831.52</v>
      </c>
      <c r="AG7" s="72"/>
      <c r="AH7" s="73">
        <v>7000</v>
      </c>
      <c r="AI7" s="73"/>
      <c r="AJ7" s="73">
        <v>4754.25</v>
      </c>
      <c r="AK7" s="73"/>
      <c r="AL7" s="73">
        <v>8700</v>
      </c>
      <c r="AM7" s="73"/>
      <c r="AN7" s="73">
        <v>5582.84</v>
      </c>
      <c r="AO7" s="73"/>
      <c r="AP7" s="74">
        <v>5288.94</v>
      </c>
      <c r="AQ7" s="73"/>
      <c r="AR7" s="73">
        <v>4350</v>
      </c>
      <c r="AS7" s="73">
        <f t="shared" si="0"/>
        <v>10577.88</v>
      </c>
      <c r="AT7" s="73"/>
      <c r="AU7" s="75"/>
      <c r="AV7" s="54">
        <v>10000</v>
      </c>
      <c r="AW7" s="55"/>
      <c r="AX7" s="56">
        <f>AN7-AL7</f>
        <v>-3117.16</v>
      </c>
      <c r="AY7" s="56"/>
      <c r="AZ7" s="57">
        <v>4019.74</v>
      </c>
      <c r="BA7" s="54"/>
      <c r="BB7" s="54"/>
      <c r="BC7" s="54"/>
      <c r="BD7" s="54">
        <v>4921.1099999999997</v>
      </c>
      <c r="BE7" s="54"/>
      <c r="BF7" s="54"/>
      <c r="BG7" s="54">
        <v>11000</v>
      </c>
      <c r="BH7" s="54"/>
      <c r="BI7" s="57">
        <v>3867.9</v>
      </c>
      <c r="BJ7" s="54"/>
      <c r="BK7" s="54">
        <v>11000</v>
      </c>
      <c r="BL7" s="54"/>
      <c r="BM7" s="58">
        <f>BK7-BG7</f>
        <v>0</v>
      </c>
      <c r="BN7" s="58"/>
      <c r="BO7" s="54">
        <v>0</v>
      </c>
      <c r="BP7" s="54"/>
      <c r="BQ7" s="66">
        <f t="shared" si="3"/>
        <v>0</v>
      </c>
      <c r="BR7" s="66"/>
      <c r="BS7" s="66">
        <f t="shared" si="1"/>
        <v>-11000</v>
      </c>
      <c r="BT7" s="58"/>
      <c r="BU7" s="54">
        <v>6000</v>
      </c>
      <c r="BV7" s="58"/>
      <c r="BW7" s="58">
        <f t="shared" si="2"/>
        <v>-5000</v>
      </c>
      <c r="BX7" s="58"/>
      <c r="BY7" s="59" t="s">
        <v>242</v>
      </c>
      <c r="BZ7" s="66">
        <f>BX7*2</f>
        <v>0</v>
      </c>
      <c r="CA7" s="66"/>
      <c r="CB7" s="54">
        <v>6000</v>
      </c>
      <c r="CC7" s="54"/>
      <c r="CD7" s="54"/>
      <c r="CE7" s="54"/>
      <c r="CF7" s="54">
        <v>6000</v>
      </c>
      <c r="CG7" s="60"/>
      <c r="CH7" s="61"/>
      <c r="CI7" s="200"/>
      <c r="CJ7" s="294"/>
    </row>
    <row r="8" spans="1:90" ht="19.5" customHeight="1" thickBot="1" x14ac:dyDescent="0.25">
      <c r="A8" s="4"/>
      <c r="B8" s="347" t="s">
        <v>5</v>
      </c>
      <c r="C8" s="348"/>
      <c r="D8" s="348"/>
      <c r="E8" s="348"/>
      <c r="F8" s="348"/>
      <c r="G8" s="30">
        <f>ROUND(SUM(G4:G7),5)</f>
        <v>2925.78</v>
      </c>
      <c r="H8" s="31"/>
      <c r="I8" s="30">
        <f>ROUND(SUM(I4:I7),5)</f>
        <v>2641.63</v>
      </c>
      <c r="J8" s="31"/>
      <c r="K8" s="30">
        <f>ROUND((G8-I8),5)</f>
        <v>284.14999999999998</v>
      </c>
      <c r="L8" s="31"/>
      <c r="M8" s="32">
        <f>ROUND(IF(I8=0, IF(G8=0, 0, 1), G8/I8),5)</f>
        <v>1.1075699999999999</v>
      </c>
      <c r="N8" s="31"/>
      <c r="O8" s="30">
        <f>ROUND(SUM(O4:O7),5)</f>
        <v>2541.79</v>
      </c>
      <c r="P8" s="31"/>
      <c r="Q8" s="30">
        <f>ROUND(SUM(Q4:Q7),5)</f>
        <v>2641.67</v>
      </c>
      <c r="R8" s="31"/>
      <c r="S8" s="30">
        <f>ROUND((O8-Q8),5)</f>
        <v>-99.88</v>
      </c>
      <c r="T8" s="31"/>
      <c r="U8" s="32">
        <f>ROUND(IF(Q8=0, IF(O8=0, 0, 1), O8/Q8),5)</f>
        <v>0.96218999999999999</v>
      </c>
      <c r="V8" s="31"/>
      <c r="W8" s="33">
        <f>SUM(W5:W7)</f>
        <v>1880.69</v>
      </c>
      <c r="X8" s="33"/>
      <c r="Y8" s="33">
        <f>SUM(Y5:Y7)</f>
        <v>2641.67</v>
      </c>
      <c r="Z8" s="33"/>
      <c r="AA8" s="33">
        <f>ROUND((W8-Y8),5)</f>
        <v>-760.98</v>
      </c>
      <c r="AB8" s="33"/>
      <c r="AC8" s="76"/>
      <c r="AD8" s="77">
        <f>SUM(AD5:AD7)</f>
        <v>17300</v>
      </c>
      <c r="AE8" s="77"/>
      <c r="AF8" s="39">
        <f>SUM(AF5:AF7)</f>
        <v>15510.93</v>
      </c>
      <c r="AG8" s="40"/>
      <c r="AH8" s="41">
        <f>SUM(AH5:AH7)</f>
        <v>20000</v>
      </c>
      <c r="AI8" s="41"/>
      <c r="AJ8" s="41">
        <v>26369.93</v>
      </c>
      <c r="AK8" s="41"/>
      <c r="AL8" s="41">
        <f>SUM(AL5:AL7)</f>
        <v>31700</v>
      </c>
      <c r="AM8" s="41"/>
      <c r="AN8" s="41">
        <f>SUM(AN5:AN7)</f>
        <v>22246.63</v>
      </c>
      <c r="AO8" s="41"/>
      <c r="AP8" s="78">
        <v>14920.53</v>
      </c>
      <c r="AQ8" s="41"/>
      <c r="AR8" s="41">
        <f>SUM(AR5:AR7)</f>
        <v>15849.98</v>
      </c>
      <c r="AS8" s="41">
        <f t="shared" si="0"/>
        <v>29841.06</v>
      </c>
      <c r="AT8" s="41"/>
      <c r="AU8" s="42"/>
      <c r="AV8" s="54">
        <f>SUM(AV5:AV7)</f>
        <v>30000</v>
      </c>
      <c r="AW8" s="55"/>
      <c r="AX8" s="56">
        <f>AN8-AL8</f>
        <v>-9453.369999999999</v>
      </c>
      <c r="AY8" s="56"/>
      <c r="AZ8" s="57">
        <v>12314.66</v>
      </c>
      <c r="BA8" s="54"/>
      <c r="BB8" s="54"/>
      <c r="BC8" s="54"/>
      <c r="BD8" s="54">
        <f>SUM(BD5:BD7)</f>
        <v>21510.95</v>
      </c>
      <c r="BE8" s="54"/>
      <c r="BF8" s="54"/>
      <c r="BG8" s="54">
        <f>SUM(BG5:BG7)</f>
        <v>31000</v>
      </c>
      <c r="BH8" s="54"/>
      <c r="BI8" s="54">
        <f>SUM(BI5:BI7)</f>
        <v>22477.22</v>
      </c>
      <c r="BJ8" s="54"/>
      <c r="BK8" s="54">
        <v>19990.419999999998</v>
      </c>
      <c r="BL8" s="54"/>
      <c r="BM8" s="58"/>
      <c r="BN8" s="58"/>
      <c r="BO8" s="66">
        <v>9995.19</v>
      </c>
      <c r="BP8" s="66"/>
      <c r="BQ8" s="66">
        <v>20740.189999999999</v>
      </c>
      <c r="BR8" s="66"/>
      <c r="BS8" s="66">
        <f t="shared" si="1"/>
        <v>749.77000000000044</v>
      </c>
      <c r="BT8" s="58"/>
      <c r="BU8" s="54">
        <f>SUM(BU5:BU7)</f>
        <v>26000</v>
      </c>
      <c r="BV8" s="58"/>
      <c r="BW8" s="58"/>
      <c r="BX8" s="58"/>
      <c r="BY8" s="59"/>
      <c r="BZ8" s="66">
        <v>21775.439999999999</v>
      </c>
      <c r="CA8" s="66"/>
      <c r="CB8" s="54">
        <v>22000</v>
      </c>
      <c r="CC8" s="54"/>
      <c r="CD8" s="54">
        <v>30076.7</v>
      </c>
      <c r="CE8" s="54"/>
      <c r="CF8" s="54">
        <v>22000</v>
      </c>
      <c r="CG8" s="60"/>
      <c r="CH8" s="61">
        <f t="shared" ref="CH8:CH71" si="4">CF8-CB8</f>
        <v>0</v>
      </c>
      <c r="CI8" s="200"/>
      <c r="CJ8" s="295" t="s">
        <v>204</v>
      </c>
    </row>
    <row r="9" spans="1:90" ht="38.25" hidden="1" customHeight="1" x14ac:dyDescent="0.2">
      <c r="A9" s="4"/>
      <c r="B9" s="62"/>
      <c r="C9" s="63"/>
      <c r="D9" s="63"/>
      <c r="E9" s="64"/>
      <c r="F9" s="63"/>
      <c r="G9" s="30"/>
      <c r="H9" s="31"/>
      <c r="I9" s="30"/>
      <c r="J9" s="31"/>
      <c r="K9" s="30"/>
      <c r="L9" s="31"/>
      <c r="M9" s="32"/>
      <c r="N9" s="31"/>
      <c r="O9" s="30"/>
      <c r="P9" s="31"/>
      <c r="Q9" s="30"/>
      <c r="R9" s="31"/>
      <c r="S9" s="30"/>
      <c r="T9" s="31"/>
      <c r="U9" s="32"/>
      <c r="V9" s="31"/>
      <c r="W9" s="33"/>
      <c r="X9" s="33"/>
      <c r="Y9" s="33"/>
      <c r="Z9" s="33"/>
      <c r="AA9" s="33"/>
      <c r="AB9" s="33"/>
      <c r="AC9" s="33"/>
      <c r="AD9" s="34"/>
      <c r="AE9" s="34"/>
      <c r="AF9" s="49"/>
      <c r="AG9" s="50"/>
      <c r="AH9" s="51"/>
      <c r="AI9" s="51"/>
      <c r="AJ9" s="51"/>
      <c r="AK9" s="51"/>
      <c r="AL9" s="51"/>
      <c r="AM9" s="51"/>
      <c r="AN9" s="51"/>
      <c r="AO9" s="51"/>
      <c r="AP9" s="51"/>
      <c r="AQ9" s="51"/>
      <c r="AR9" s="51"/>
      <c r="AS9" s="51"/>
      <c r="AT9" s="51"/>
      <c r="AU9" s="65"/>
      <c r="AV9" s="79"/>
      <c r="AW9" s="80"/>
      <c r="AX9" s="81"/>
      <c r="AY9" s="81"/>
      <c r="AZ9" s="79"/>
      <c r="BA9" s="79"/>
      <c r="BB9" s="82"/>
      <c r="BC9" s="83"/>
      <c r="BD9" s="79"/>
      <c r="BE9" s="79"/>
      <c r="BF9" s="79"/>
      <c r="BG9" s="79"/>
      <c r="BH9" s="79"/>
      <c r="BI9" s="79"/>
      <c r="BJ9" s="79"/>
      <c r="BK9" s="79"/>
      <c r="BL9" s="79"/>
      <c r="BM9" s="84"/>
      <c r="BN9" s="84"/>
      <c r="BO9" s="79"/>
      <c r="BP9" s="79"/>
      <c r="BQ9" s="79"/>
      <c r="BR9" s="79"/>
      <c r="BS9" s="85"/>
      <c r="BT9" s="84"/>
      <c r="BU9" s="79"/>
      <c r="BV9" s="84"/>
      <c r="BW9" s="84"/>
      <c r="BX9" s="84"/>
      <c r="BY9" s="86"/>
      <c r="BZ9" s="79"/>
      <c r="CA9" s="79"/>
      <c r="CB9" s="79"/>
      <c r="CC9" s="79"/>
      <c r="CD9" s="79"/>
      <c r="CE9" s="79"/>
      <c r="CF9" s="79"/>
      <c r="CG9" s="83"/>
      <c r="CH9" s="61">
        <f t="shared" si="4"/>
        <v>0</v>
      </c>
      <c r="CI9" s="88"/>
      <c r="CJ9" s="296"/>
    </row>
    <row r="10" spans="1:90" ht="24" hidden="1" customHeight="1" x14ac:dyDescent="0.2">
      <c r="A10" s="4"/>
      <c r="B10" s="27"/>
      <c r="C10" s="28" t="s">
        <v>10</v>
      </c>
      <c r="D10" s="28"/>
      <c r="E10" s="29"/>
      <c r="F10" s="28"/>
      <c r="G10" s="30">
        <v>0</v>
      </c>
      <c r="H10" s="31"/>
      <c r="I10" s="30">
        <v>4583.37</v>
      </c>
      <c r="J10" s="31"/>
      <c r="K10" s="30">
        <f>ROUND((G10-I10),5)</f>
        <v>-4583.37</v>
      </c>
      <c r="L10" s="31"/>
      <c r="M10" s="32">
        <f>ROUND(IF(I10=0, IF(G10=0, 0, 1), G10/I10),5)</f>
        <v>0</v>
      </c>
      <c r="N10" s="31"/>
      <c r="O10" s="30">
        <v>3840.51</v>
      </c>
      <c r="P10" s="31"/>
      <c r="Q10" s="30">
        <v>4583.33</v>
      </c>
      <c r="R10" s="31"/>
      <c r="S10" s="30">
        <f>ROUND((O10-Q10),5)</f>
        <v>-742.82</v>
      </c>
      <c r="T10" s="31"/>
      <c r="U10" s="32">
        <f>ROUND(IF(Q10=0, IF(O10=0, 0, 1), O10/Q10),5)</f>
        <v>0.83792999999999995</v>
      </c>
      <c r="V10" s="31"/>
      <c r="W10" s="33">
        <v>3835.18</v>
      </c>
      <c r="X10" s="33"/>
      <c r="Y10" s="33">
        <v>4583.33</v>
      </c>
      <c r="Z10" s="33"/>
      <c r="AA10" s="33">
        <f>ROUND((W10-Y10),5)</f>
        <v>-748.15</v>
      </c>
      <c r="AB10" s="33"/>
      <c r="AC10" s="33"/>
      <c r="AD10" s="34">
        <v>65000</v>
      </c>
      <c r="AE10" s="34"/>
      <c r="AF10" s="49">
        <v>59848.39</v>
      </c>
      <c r="AG10" s="50"/>
      <c r="AH10" s="51">
        <v>65000</v>
      </c>
      <c r="AI10" s="51"/>
      <c r="AJ10" s="51">
        <v>52846.91</v>
      </c>
      <c r="AK10" s="51"/>
      <c r="AL10" s="51">
        <v>55000</v>
      </c>
      <c r="AM10" s="51"/>
      <c r="AN10" s="51">
        <v>47219.14</v>
      </c>
      <c r="AO10" s="51"/>
      <c r="AP10" s="52">
        <v>21021.91</v>
      </c>
      <c r="AQ10" s="51"/>
      <c r="AR10" s="51">
        <v>27500.02</v>
      </c>
      <c r="AS10" s="51">
        <f t="shared" ref="AS10:AS13" si="5">AP10*2</f>
        <v>42043.82</v>
      </c>
      <c r="AT10" s="51"/>
      <c r="AU10" s="87"/>
      <c r="AV10" s="54">
        <v>55000</v>
      </c>
      <c r="AW10" s="55"/>
      <c r="AX10" s="56">
        <f>AN10-AL10</f>
        <v>-7780.8600000000006</v>
      </c>
      <c r="AY10" s="88"/>
      <c r="AZ10" s="89">
        <v>27450.080000000002</v>
      </c>
      <c r="BA10" s="54"/>
      <c r="BB10" s="82"/>
      <c r="BC10" s="60"/>
      <c r="BD10" s="54">
        <f t="shared" ref="BD10:BD85" si="6">AZ10*2</f>
        <v>54900.160000000003</v>
      </c>
      <c r="BE10" s="54"/>
      <c r="BF10" s="54"/>
      <c r="BG10" s="54">
        <v>46000</v>
      </c>
      <c r="BH10" s="54"/>
      <c r="BI10" s="57">
        <v>70444.58</v>
      </c>
      <c r="BJ10" s="54"/>
      <c r="BK10" s="54">
        <v>46000</v>
      </c>
      <c r="BL10" s="54"/>
      <c r="BM10" s="58">
        <f>BK10-BG10</f>
        <v>0</v>
      </c>
      <c r="BN10" s="58"/>
      <c r="BO10" s="66">
        <v>25340.09</v>
      </c>
      <c r="BP10" s="66"/>
      <c r="BQ10" s="66">
        <f t="shared" ref="BQ10:BQ71" si="7">BO10*2</f>
        <v>50680.18</v>
      </c>
      <c r="BR10" s="66"/>
      <c r="BS10" s="66">
        <f t="shared" si="1"/>
        <v>4680.18</v>
      </c>
      <c r="BT10" s="58"/>
      <c r="BU10" s="54">
        <v>49000</v>
      </c>
      <c r="BV10" s="58"/>
      <c r="BW10" s="58">
        <f>BU10-BK10</f>
        <v>3000</v>
      </c>
      <c r="BX10" s="58"/>
      <c r="BY10" s="90" t="s">
        <v>243</v>
      </c>
      <c r="BZ10" s="66">
        <f>BX10*2</f>
        <v>0</v>
      </c>
      <c r="CA10" s="66"/>
      <c r="CB10" s="54">
        <v>50868.19</v>
      </c>
      <c r="CC10" s="54"/>
      <c r="CD10" s="54">
        <f>27445.45*2</f>
        <v>54890.9</v>
      </c>
      <c r="CE10" s="54"/>
      <c r="CF10" s="54">
        <v>51212.04</v>
      </c>
      <c r="CG10" s="60"/>
      <c r="CH10" s="61">
        <f t="shared" si="4"/>
        <v>343.84999999999854</v>
      </c>
      <c r="CI10" s="88"/>
      <c r="CJ10" s="296" t="s">
        <v>244</v>
      </c>
    </row>
    <row r="11" spans="1:90" ht="15.75" hidden="1" customHeight="1" x14ac:dyDescent="0.2">
      <c r="A11" s="4"/>
      <c r="B11" s="27"/>
      <c r="C11" s="28" t="s">
        <v>11</v>
      </c>
      <c r="D11" s="28"/>
      <c r="E11" s="29"/>
      <c r="F11" s="28"/>
      <c r="G11" s="30">
        <v>36526.14</v>
      </c>
      <c r="H11" s="31"/>
      <c r="I11" s="30">
        <v>10614.21</v>
      </c>
      <c r="J11" s="31"/>
      <c r="K11" s="30">
        <f>ROUND((G11-I11),5)</f>
        <v>25911.93</v>
      </c>
      <c r="L11" s="31"/>
      <c r="M11" s="32">
        <f>ROUND(IF(I11=0, IF(G11=0, 0, 1), G11/I11),5)</f>
        <v>3.4412500000000001</v>
      </c>
      <c r="N11" s="31"/>
      <c r="O11" s="30">
        <v>9175.4699999999993</v>
      </c>
      <c r="P11" s="31"/>
      <c r="Q11" s="30">
        <v>10614.18</v>
      </c>
      <c r="R11" s="31"/>
      <c r="S11" s="30">
        <f>ROUND((O11-Q11),5)</f>
        <v>-1438.71</v>
      </c>
      <c r="T11" s="31"/>
      <c r="U11" s="32">
        <f>ROUND(IF(Q11=0, IF(O11=0, 0, 1), O11/Q11),5)</f>
        <v>0.86445000000000005</v>
      </c>
      <c r="V11" s="31"/>
      <c r="W11" s="33">
        <v>10594.09</v>
      </c>
      <c r="X11" s="33"/>
      <c r="Y11" s="33">
        <v>10614.18</v>
      </c>
      <c r="Z11" s="33"/>
      <c r="AA11" s="33">
        <f>ROUND((W11-Y11),5)</f>
        <v>-20.09</v>
      </c>
      <c r="AB11" s="33"/>
      <c r="AC11" s="33"/>
      <c r="AD11" s="34">
        <v>188812.06</v>
      </c>
      <c r="AE11" s="34"/>
      <c r="AF11" s="49">
        <v>189718.69</v>
      </c>
      <c r="AG11" s="50"/>
      <c r="AH11" s="51">
        <v>184000</v>
      </c>
      <c r="AI11" s="51"/>
      <c r="AJ11" s="51">
        <v>118300.93</v>
      </c>
      <c r="AK11" s="51"/>
      <c r="AL11" s="51">
        <v>127370.19</v>
      </c>
      <c r="AM11" s="51"/>
      <c r="AN11" s="51">
        <v>101770.04</v>
      </c>
      <c r="AO11" s="51"/>
      <c r="AP11" s="52">
        <v>42047.72</v>
      </c>
      <c r="AQ11" s="51"/>
      <c r="AR11" s="51">
        <v>63685.11</v>
      </c>
      <c r="AS11" s="51">
        <f t="shared" si="5"/>
        <v>84095.44</v>
      </c>
      <c r="AT11" s="51"/>
      <c r="AU11" s="87"/>
      <c r="AV11" s="54">
        <v>134944.06</v>
      </c>
      <c r="AW11" s="55"/>
      <c r="AX11" s="56">
        <f>AN11-AL11</f>
        <v>-25600.150000000009</v>
      </c>
      <c r="AY11" s="88"/>
      <c r="AZ11" s="89">
        <v>67082.48</v>
      </c>
      <c r="BA11" s="54"/>
      <c r="BB11" s="82"/>
      <c r="BC11" s="60"/>
      <c r="BD11" s="54">
        <f t="shared" si="6"/>
        <v>134164.96</v>
      </c>
      <c r="BE11" s="54"/>
      <c r="BF11" s="54"/>
      <c r="BG11" s="54">
        <v>200000</v>
      </c>
      <c r="BH11" s="54"/>
      <c r="BI11" s="57">
        <v>202330.72</v>
      </c>
      <c r="BJ11" s="54"/>
      <c r="BK11" s="54">
        <v>197000</v>
      </c>
      <c r="BL11" s="54"/>
      <c r="BM11" s="58">
        <f>BK11-BG11</f>
        <v>-3000</v>
      </c>
      <c r="BN11" s="58"/>
      <c r="BO11" s="66">
        <v>95427.6</v>
      </c>
      <c r="BP11" s="66"/>
      <c r="BQ11" s="66">
        <f t="shared" si="7"/>
        <v>190855.2</v>
      </c>
      <c r="BR11" s="66"/>
      <c r="BS11" s="66">
        <f t="shared" si="1"/>
        <v>-6144.7999999999884</v>
      </c>
      <c r="BT11" s="58"/>
      <c r="BU11" s="54">
        <v>199000</v>
      </c>
      <c r="BV11" s="58"/>
      <c r="BW11" s="58">
        <f t="shared" ref="BW11:BW14" si="8">BU11-BK11</f>
        <v>2000</v>
      </c>
      <c r="BX11" s="58"/>
      <c r="BY11" s="91" t="s">
        <v>245</v>
      </c>
      <c r="BZ11" s="66">
        <f>BX11*2</f>
        <v>0</v>
      </c>
      <c r="CA11" s="66"/>
      <c r="CB11" s="54">
        <v>248126.07999999999</v>
      </c>
      <c r="CC11" s="54"/>
      <c r="CD11" s="54">
        <f>59676.46*2</f>
        <v>119352.92</v>
      </c>
      <c r="CE11" s="54"/>
      <c r="CF11" s="54">
        <v>196388.64</v>
      </c>
      <c r="CG11" s="60"/>
      <c r="CH11" s="61">
        <f t="shared" si="4"/>
        <v>-51737.439999999973</v>
      </c>
      <c r="CI11" s="88"/>
      <c r="CJ11" s="292"/>
    </row>
    <row r="12" spans="1:90" ht="39.75" hidden="1" customHeight="1" thickBot="1" x14ac:dyDescent="0.25">
      <c r="A12" s="4"/>
      <c r="B12" s="27"/>
      <c r="C12" s="28" t="s">
        <v>12</v>
      </c>
      <c r="D12" s="28"/>
      <c r="E12" s="29"/>
      <c r="F12" s="28"/>
      <c r="G12" s="30">
        <v>14902.17</v>
      </c>
      <c r="H12" s="31"/>
      <c r="I12" s="30">
        <v>7500</v>
      </c>
      <c r="J12" s="31"/>
      <c r="K12" s="30">
        <f>ROUND((G12-I12),5)</f>
        <v>7402.17</v>
      </c>
      <c r="L12" s="31"/>
      <c r="M12" s="32">
        <f>ROUND(IF(I12=0, IF(G12=0, 0, 1), G12/I12),5)</f>
        <v>1.9869600000000001</v>
      </c>
      <c r="N12" s="31"/>
      <c r="O12" s="30">
        <v>812.15</v>
      </c>
      <c r="P12" s="31"/>
      <c r="Q12" s="30">
        <v>7500</v>
      </c>
      <c r="R12" s="31"/>
      <c r="S12" s="30">
        <f>ROUND((O12-Q12),5)</f>
        <v>-6687.85</v>
      </c>
      <c r="T12" s="31"/>
      <c r="U12" s="32">
        <f>ROUND(IF(Q12=0, IF(O12=0, 0, 1), O12/Q12),5)</f>
        <v>0.10829</v>
      </c>
      <c r="V12" s="31"/>
      <c r="W12" s="33">
        <v>7063.97</v>
      </c>
      <c r="X12" s="33"/>
      <c r="Y12" s="33">
        <v>7500</v>
      </c>
      <c r="Z12" s="33"/>
      <c r="AA12" s="33">
        <f>ROUND((W12-Y12),5)</f>
        <v>-436.03</v>
      </c>
      <c r="AB12" s="33"/>
      <c r="AC12" s="33"/>
      <c r="AD12" s="34">
        <v>95859.7</v>
      </c>
      <c r="AE12" s="34"/>
      <c r="AF12" s="71">
        <v>96593.4</v>
      </c>
      <c r="AG12" s="72"/>
      <c r="AH12" s="73">
        <v>93694.24</v>
      </c>
      <c r="AI12" s="73"/>
      <c r="AJ12" s="73">
        <v>74174.070000000007</v>
      </c>
      <c r="AK12" s="73"/>
      <c r="AL12" s="73">
        <v>90000</v>
      </c>
      <c r="AM12" s="73"/>
      <c r="AN12" s="73">
        <v>91394.98</v>
      </c>
      <c r="AO12" s="73"/>
      <c r="AP12" s="74">
        <v>45570.2</v>
      </c>
      <c r="AQ12" s="73"/>
      <c r="AR12" s="73">
        <v>45000</v>
      </c>
      <c r="AS12" s="73">
        <f t="shared" si="5"/>
        <v>91140.4</v>
      </c>
      <c r="AT12" s="73"/>
      <c r="AU12" s="92"/>
      <c r="AV12" s="93">
        <v>119281.53</v>
      </c>
      <c r="AW12" s="94"/>
      <c r="AX12" s="95">
        <f>AN12-AL12</f>
        <v>1394.9799999999959</v>
      </c>
      <c r="AY12" s="96"/>
      <c r="AZ12" s="97">
        <v>59945.58</v>
      </c>
      <c r="BA12" s="93"/>
      <c r="BB12" s="98"/>
      <c r="BC12" s="99"/>
      <c r="BD12" s="93">
        <v>129644.11</v>
      </c>
      <c r="BE12" s="93"/>
      <c r="BF12" s="93"/>
      <c r="BG12" s="93">
        <v>137874.82999999999</v>
      </c>
      <c r="BH12" s="93"/>
      <c r="BI12" s="100">
        <v>105352.81</v>
      </c>
      <c r="BJ12" s="93"/>
      <c r="BK12" s="93">
        <v>137874.82999999999</v>
      </c>
      <c r="BL12" s="93"/>
      <c r="BM12" s="101">
        <f>BK12-BG12</f>
        <v>0</v>
      </c>
      <c r="BN12" s="101"/>
      <c r="BO12" s="102">
        <f>56252.65+122.27</f>
        <v>56374.92</v>
      </c>
      <c r="BP12" s="102"/>
      <c r="BQ12" s="102">
        <f t="shared" si="7"/>
        <v>112749.84</v>
      </c>
      <c r="BR12" s="102"/>
      <c r="BS12" s="102">
        <f t="shared" si="1"/>
        <v>-25124.989999999991</v>
      </c>
      <c r="BT12" s="101"/>
      <c r="BU12" s="93">
        <f>BK12*1.15</f>
        <v>158556.05449999997</v>
      </c>
      <c r="BV12" s="101"/>
      <c r="BW12" s="101">
        <f t="shared" si="8"/>
        <v>20681.224499999982</v>
      </c>
      <c r="BX12" s="58"/>
      <c r="BY12" s="91" t="s">
        <v>246</v>
      </c>
      <c r="BZ12" s="102">
        <f>BX12*2</f>
        <v>0</v>
      </c>
      <c r="CA12" s="102"/>
      <c r="CB12" s="93">
        <v>136095.22</v>
      </c>
      <c r="CC12" s="93"/>
      <c r="CD12" s="93">
        <f>61890.35*2</f>
        <v>123780.7</v>
      </c>
      <c r="CE12" s="93"/>
      <c r="CF12" s="93">
        <v>136095.22</v>
      </c>
      <c r="CG12" s="99"/>
      <c r="CH12" s="103">
        <f t="shared" si="4"/>
        <v>0</v>
      </c>
      <c r="CI12" s="96"/>
      <c r="CJ12" s="297" t="s">
        <v>316</v>
      </c>
    </row>
    <row r="13" spans="1:90" ht="15.75" customHeight="1" thickBot="1" x14ac:dyDescent="0.25">
      <c r="A13" s="4"/>
      <c r="B13" s="347" t="s">
        <v>9</v>
      </c>
      <c r="C13" s="348"/>
      <c r="D13" s="348"/>
      <c r="E13" s="348"/>
      <c r="F13" s="348"/>
      <c r="G13" s="30">
        <f>ROUND(SUM(G9:G12),5)</f>
        <v>51428.31</v>
      </c>
      <c r="H13" s="31"/>
      <c r="I13" s="30">
        <f>ROUND(SUM(I9:I12),5)</f>
        <v>22697.58</v>
      </c>
      <c r="J13" s="31"/>
      <c r="K13" s="30">
        <f>ROUND((G13-I13),5)</f>
        <v>28730.73</v>
      </c>
      <c r="L13" s="31"/>
      <c r="M13" s="32">
        <f>ROUND(IF(I13=0, IF(G13=0, 0, 1), G13/I13),5)</f>
        <v>2.2658100000000001</v>
      </c>
      <c r="N13" s="31"/>
      <c r="O13" s="30">
        <f>ROUND(SUM(O9:O12),5)</f>
        <v>13828.13</v>
      </c>
      <c r="P13" s="31"/>
      <c r="Q13" s="30">
        <f>ROUND(SUM(Q9:Q12),5)</f>
        <v>22697.51</v>
      </c>
      <c r="R13" s="31"/>
      <c r="S13" s="30">
        <f>ROUND((O13-Q13),5)</f>
        <v>-8869.3799999999992</v>
      </c>
      <c r="T13" s="31"/>
      <c r="U13" s="32">
        <f>ROUND(IF(Q13=0, IF(O13=0, 0, 1), O13/Q13),5)</f>
        <v>0.60924</v>
      </c>
      <c r="V13" s="31"/>
      <c r="W13" s="33">
        <f>SUM(W10:W12)</f>
        <v>21493.24</v>
      </c>
      <c r="X13" s="33"/>
      <c r="Y13" s="33">
        <f>SUM(Y10:Y12)</f>
        <v>22697.510000000002</v>
      </c>
      <c r="Z13" s="33"/>
      <c r="AA13" s="33">
        <f>ROUND((W13-Y13),5)</f>
        <v>-1204.27</v>
      </c>
      <c r="AB13" s="33"/>
      <c r="AC13" s="76"/>
      <c r="AD13" s="77">
        <f>SUM(AD10:AD12)</f>
        <v>349671.76</v>
      </c>
      <c r="AE13" s="77"/>
      <c r="AF13" s="39">
        <f>SUM(AF10:AF12)</f>
        <v>346160.48</v>
      </c>
      <c r="AG13" s="40"/>
      <c r="AH13" s="41">
        <f>SUM(AH10:AH12)</f>
        <v>342694.24</v>
      </c>
      <c r="AI13" s="41"/>
      <c r="AJ13" s="41">
        <v>249191.91</v>
      </c>
      <c r="AK13" s="41"/>
      <c r="AL13" s="41">
        <f>SUM(AL10:AL12)</f>
        <v>272370.19</v>
      </c>
      <c r="AM13" s="41"/>
      <c r="AN13" s="41">
        <f>SUM(AN10:AN12)</f>
        <v>240384.15999999997</v>
      </c>
      <c r="AO13" s="41"/>
      <c r="AP13" s="78">
        <v>109646.27</v>
      </c>
      <c r="AQ13" s="41"/>
      <c r="AR13" s="41">
        <f>SUM(AR10:AR12)</f>
        <v>136185.13</v>
      </c>
      <c r="AS13" s="41">
        <f t="shared" si="5"/>
        <v>219292.54</v>
      </c>
      <c r="AT13" s="41"/>
      <c r="AU13" s="42"/>
      <c r="AV13" s="104">
        <f>SUM(AV10:AV12)</f>
        <v>309225.58999999997</v>
      </c>
      <c r="AW13" s="105"/>
      <c r="AX13" s="106">
        <f>AN13-AL13</f>
        <v>-31986.030000000028</v>
      </c>
      <c r="AY13" s="96"/>
      <c r="AZ13" s="97">
        <v>154478.14000000001</v>
      </c>
      <c r="BA13" s="104"/>
      <c r="BB13" s="98"/>
      <c r="BC13" s="107"/>
      <c r="BD13" s="104">
        <f>BD10+BD11+BD12</f>
        <v>318709.23</v>
      </c>
      <c r="BE13" s="104"/>
      <c r="BF13" s="104"/>
      <c r="BG13" s="104">
        <f>SUM(BG10:BG12)</f>
        <v>383874.82999999996</v>
      </c>
      <c r="BH13" s="104"/>
      <c r="BI13" s="104">
        <f>SUM(BI10:BI12)</f>
        <v>378128.11</v>
      </c>
      <c r="BJ13" s="104"/>
      <c r="BK13" s="104">
        <v>354285.22</v>
      </c>
      <c r="BL13" s="104"/>
      <c r="BM13" s="108">
        <f>BK13-BG13</f>
        <v>-29589.609999999986</v>
      </c>
      <c r="BN13" s="108"/>
      <c r="BO13" s="109">
        <v>177142.61</v>
      </c>
      <c r="BP13" s="109"/>
      <c r="BQ13" s="109">
        <v>337169.83</v>
      </c>
      <c r="BR13" s="109"/>
      <c r="BS13" s="109">
        <f t="shared" si="1"/>
        <v>-17115.389999999956</v>
      </c>
      <c r="BT13" s="108"/>
      <c r="BU13" s="104">
        <f>SUM(BU10:BU12)</f>
        <v>406556.05449999997</v>
      </c>
      <c r="BV13" s="108"/>
      <c r="BW13" s="108">
        <f t="shared" si="8"/>
        <v>52270.834499999997</v>
      </c>
      <c r="BX13" s="101"/>
      <c r="BY13" s="110"/>
      <c r="BZ13" s="109">
        <v>351835.09</v>
      </c>
      <c r="CA13" s="109"/>
      <c r="CB13" s="104">
        <f>SUM(CB10:CB12)</f>
        <v>435089.49</v>
      </c>
      <c r="CC13" s="104"/>
      <c r="CD13" s="104">
        <v>298024.52</v>
      </c>
      <c r="CE13" s="104"/>
      <c r="CF13" s="104">
        <f>SUM(CF10:CF12)</f>
        <v>383695.9</v>
      </c>
      <c r="CG13" s="107"/>
      <c r="CH13" s="111">
        <f t="shared" si="4"/>
        <v>-51393.589999999967</v>
      </c>
      <c r="CI13" s="88"/>
      <c r="CJ13" s="298" t="s">
        <v>247</v>
      </c>
      <c r="CL13" s="5" t="s">
        <v>173</v>
      </c>
    </row>
    <row r="14" spans="1:90" ht="17.25" customHeight="1" x14ac:dyDescent="0.2">
      <c r="A14" s="4"/>
      <c r="B14" s="289" t="s">
        <v>221</v>
      </c>
      <c r="C14" s="288"/>
      <c r="D14" s="288"/>
      <c r="E14" s="290"/>
      <c r="F14" s="288"/>
      <c r="G14" s="30"/>
      <c r="H14" s="31"/>
      <c r="I14" s="30"/>
      <c r="J14" s="31"/>
      <c r="K14" s="30"/>
      <c r="L14" s="31"/>
      <c r="M14" s="32"/>
      <c r="N14" s="31"/>
      <c r="O14" s="30"/>
      <c r="P14" s="31"/>
      <c r="Q14" s="30"/>
      <c r="R14" s="31"/>
      <c r="S14" s="30"/>
      <c r="T14" s="31"/>
      <c r="U14" s="32"/>
      <c r="V14" s="31"/>
      <c r="W14" s="33"/>
      <c r="X14" s="33"/>
      <c r="Y14" s="33"/>
      <c r="Z14" s="33"/>
      <c r="AA14" s="33"/>
      <c r="AB14" s="33"/>
      <c r="AC14" s="33"/>
      <c r="AD14" s="34"/>
      <c r="AE14" s="34"/>
      <c r="AF14" s="39"/>
      <c r="AG14" s="40"/>
      <c r="AH14" s="41"/>
      <c r="AI14" s="41"/>
      <c r="AJ14" s="41"/>
      <c r="AK14" s="41"/>
      <c r="AL14" s="41"/>
      <c r="AM14" s="41"/>
      <c r="AN14" s="41"/>
      <c r="AO14" s="41"/>
      <c r="AP14" s="78"/>
      <c r="AQ14" s="41"/>
      <c r="AR14" s="41"/>
      <c r="AS14" s="41"/>
      <c r="AT14" s="41"/>
      <c r="AU14" s="42"/>
      <c r="AV14" s="79">
        <f>AV13+AV8+AV3</f>
        <v>1408795.1</v>
      </c>
      <c r="AW14" s="80"/>
      <c r="AX14" s="81"/>
      <c r="AY14" s="88"/>
      <c r="AZ14" s="89"/>
      <c r="BA14" s="79"/>
      <c r="BB14" s="82"/>
      <c r="BC14" s="83"/>
      <c r="BD14" s="79">
        <f>BD13+BD8+BD3</f>
        <v>1355347.61</v>
      </c>
      <c r="BE14" s="79"/>
      <c r="BF14" s="79"/>
      <c r="BG14" s="79">
        <f>BG13+BG8+BG3</f>
        <v>1573013.7399999998</v>
      </c>
      <c r="BH14" s="79"/>
      <c r="BI14" s="79">
        <f>BI13+BI8+BI3</f>
        <v>1436852.5699999998</v>
      </c>
      <c r="BJ14" s="79"/>
      <c r="BK14" s="79">
        <f>BK13+BK8+BK3</f>
        <v>1419203.02</v>
      </c>
      <c r="BL14" s="79"/>
      <c r="BM14" s="84"/>
      <c r="BN14" s="84"/>
      <c r="BO14" s="79">
        <f>BO13+BO8+BO3</f>
        <v>692101.49</v>
      </c>
      <c r="BP14" s="79"/>
      <c r="BQ14" s="85">
        <f>BQ3+BQ8+BQ13</f>
        <v>1342753.6099999999</v>
      </c>
      <c r="BR14" s="85"/>
      <c r="BS14" s="85">
        <f t="shared" si="1"/>
        <v>-76449.410000000149</v>
      </c>
      <c r="BT14" s="84"/>
      <c r="BU14" s="79">
        <f>BU13+BU8+BU3</f>
        <v>1528273.9844999998</v>
      </c>
      <c r="BV14" s="84"/>
      <c r="BW14" s="84">
        <f t="shared" si="8"/>
        <v>109070.96449999977</v>
      </c>
      <c r="BX14" s="84"/>
      <c r="BY14" s="86"/>
      <c r="BZ14" s="85">
        <f>SUM(BZ3:BZ13)</f>
        <v>1419636.8900000001</v>
      </c>
      <c r="CA14" s="85"/>
      <c r="CB14" s="79">
        <f>CB13+CB8+CB3</f>
        <v>1626380.09</v>
      </c>
      <c r="CC14" s="79"/>
      <c r="CD14" s="79">
        <f>CD3+CD8+CD13</f>
        <v>1277004.5</v>
      </c>
      <c r="CE14" s="79"/>
      <c r="CF14" s="79">
        <f>CF13+CF8+CF3</f>
        <v>1555822.5699999998</v>
      </c>
      <c r="CG14" s="83"/>
      <c r="CH14" s="112">
        <f t="shared" si="4"/>
        <v>-70557.520000000251</v>
      </c>
      <c r="CI14" s="199"/>
      <c r="CJ14" s="299"/>
    </row>
    <row r="15" spans="1:90" ht="18" customHeight="1" x14ac:dyDescent="0.2">
      <c r="A15" s="4"/>
      <c r="B15" s="289" t="s">
        <v>195</v>
      </c>
      <c r="C15" s="288"/>
      <c r="D15" s="288"/>
      <c r="E15" s="290"/>
      <c r="F15" s="288"/>
      <c r="G15" s="30"/>
      <c r="H15" s="31"/>
      <c r="I15" s="30"/>
      <c r="J15" s="31"/>
      <c r="K15" s="30"/>
      <c r="L15" s="31"/>
      <c r="M15" s="32"/>
      <c r="N15" s="31"/>
      <c r="O15" s="30"/>
      <c r="P15" s="31"/>
      <c r="Q15" s="30"/>
      <c r="R15" s="31"/>
      <c r="S15" s="30"/>
      <c r="T15" s="31"/>
      <c r="U15" s="32"/>
      <c r="V15" s="31"/>
      <c r="W15" s="33"/>
      <c r="X15" s="33"/>
      <c r="Y15" s="33"/>
      <c r="Z15" s="33"/>
      <c r="AA15" s="33"/>
      <c r="AB15" s="33"/>
      <c r="AC15" s="33"/>
      <c r="AD15" s="34"/>
      <c r="AE15" s="34"/>
      <c r="AF15" s="39"/>
      <c r="AG15" s="40"/>
      <c r="AH15" s="41"/>
      <c r="AI15" s="41"/>
      <c r="AJ15" s="41"/>
      <c r="AK15" s="41"/>
      <c r="AL15" s="41"/>
      <c r="AM15" s="41"/>
      <c r="AN15" s="41"/>
      <c r="AO15" s="41"/>
      <c r="AP15" s="78"/>
      <c r="AQ15" s="41"/>
      <c r="AR15" s="41"/>
      <c r="AS15" s="41"/>
      <c r="AT15" s="41"/>
      <c r="AU15" s="42"/>
      <c r="AV15" s="79"/>
      <c r="AW15" s="80"/>
      <c r="AX15" s="81"/>
      <c r="AY15" s="88"/>
      <c r="AZ15" s="89"/>
      <c r="BA15" s="79"/>
      <c r="BB15" s="82"/>
      <c r="BC15" s="83"/>
      <c r="BD15" s="54"/>
      <c r="BE15" s="54"/>
      <c r="BF15" s="54"/>
      <c r="BG15" s="54"/>
      <c r="BH15" s="54"/>
      <c r="BI15" s="54"/>
      <c r="BJ15" s="54"/>
      <c r="BK15" s="54"/>
      <c r="BL15" s="54"/>
      <c r="BM15" s="58"/>
      <c r="BN15" s="58"/>
      <c r="BO15" s="113"/>
      <c r="BP15" s="113"/>
      <c r="BQ15" s="66"/>
      <c r="BR15" s="66"/>
      <c r="BS15" s="66"/>
      <c r="BT15" s="58"/>
      <c r="BU15" s="54"/>
      <c r="BV15" s="58"/>
      <c r="BW15" s="58"/>
      <c r="BX15" s="58"/>
      <c r="BY15" s="91"/>
      <c r="BZ15" s="66"/>
      <c r="CA15" s="66"/>
      <c r="CB15" s="54"/>
      <c r="CC15" s="54"/>
      <c r="CD15" s="54"/>
      <c r="CE15" s="54"/>
      <c r="CF15" s="54"/>
      <c r="CG15" s="60"/>
      <c r="CH15" s="61"/>
      <c r="CI15" s="200"/>
      <c r="CJ15" s="294"/>
    </row>
    <row r="16" spans="1:90" ht="17.25" customHeight="1" x14ac:dyDescent="0.2">
      <c r="A16" s="4"/>
      <c r="B16" s="27"/>
      <c r="C16" s="28" t="s">
        <v>58</v>
      </c>
      <c r="D16" s="28"/>
      <c r="E16" s="29"/>
      <c r="F16" s="28"/>
      <c r="G16" s="30">
        <v>375</v>
      </c>
      <c r="H16" s="31"/>
      <c r="I16" s="30">
        <v>416.63</v>
      </c>
      <c r="J16" s="31"/>
      <c r="K16" s="30">
        <f>ROUND((G16-I16),5)</f>
        <v>-41.63</v>
      </c>
      <c r="L16" s="31"/>
      <c r="M16" s="32">
        <f>ROUND(IF(I16=0, IF(G16=0, 0, 1), G16/I16),5)</f>
        <v>0.90007999999999999</v>
      </c>
      <c r="N16" s="31"/>
      <c r="O16" s="30">
        <v>375</v>
      </c>
      <c r="P16" s="31"/>
      <c r="Q16" s="30">
        <v>416.67</v>
      </c>
      <c r="R16" s="31"/>
      <c r="S16" s="30">
        <f>ROUND((O16-Q16),5)</f>
        <v>-41.67</v>
      </c>
      <c r="T16" s="31"/>
      <c r="U16" s="32">
        <f>ROUND(IF(Q16=0, IF(O16=0, 0, 1), O16/Q16),5)</f>
        <v>0.89998999999999996</v>
      </c>
      <c r="V16" s="31"/>
      <c r="W16" s="33">
        <v>375</v>
      </c>
      <c r="X16" s="33"/>
      <c r="Y16" s="33">
        <v>416.67</v>
      </c>
      <c r="Z16" s="33"/>
      <c r="AA16" s="33">
        <f>ROUND((W16-Y16),5)</f>
        <v>-41.67</v>
      </c>
      <c r="AB16" s="33"/>
      <c r="AC16" s="33"/>
      <c r="AD16" s="34">
        <v>4500</v>
      </c>
      <c r="AE16" s="34"/>
      <c r="AF16" s="49">
        <v>4354.53</v>
      </c>
      <c r="AG16" s="50"/>
      <c r="AH16" s="51">
        <v>5000</v>
      </c>
      <c r="AI16" s="51"/>
      <c r="AJ16" s="51">
        <v>4590</v>
      </c>
      <c r="AK16" s="51"/>
      <c r="AL16" s="51">
        <v>5000</v>
      </c>
      <c r="AM16" s="51"/>
      <c r="AN16" s="51">
        <v>4586</v>
      </c>
      <c r="AO16" s="51"/>
      <c r="AP16" s="51">
        <v>2250</v>
      </c>
      <c r="AQ16" s="51"/>
      <c r="AR16" s="51">
        <f>ROUND(I16+Q16+Y16,5)</f>
        <v>1249.97</v>
      </c>
      <c r="AS16" s="51">
        <f>AP16*2</f>
        <v>4500</v>
      </c>
      <c r="AT16" s="51"/>
      <c r="AU16" s="87"/>
      <c r="AV16" s="54">
        <v>5000</v>
      </c>
      <c r="AW16" s="55"/>
      <c r="AX16" s="56">
        <f>AN16-AL16</f>
        <v>-414</v>
      </c>
      <c r="AY16" s="88"/>
      <c r="AZ16" s="89">
        <v>2250</v>
      </c>
      <c r="BA16" s="54"/>
      <c r="BB16" s="114"/>
      <c r="BC16" s="60"/>
      <c r="BD16" s="54">
        <f>AZ16*2</f>
        <v>4500</v>
      </c>
      <c r="BE16" s="54"/>
      <c r="BF16" s="54"/>
      <c r="BG16" s="54">
        <v>5000</v>
      </c>
      <c r="BH16" s="54"/>
      <c r="BI16" s="57">
        <v>4500</v>
      </c>
      <c r="BJ16" s="54"/>
      <c r="BK16" s="54">
        <v>4500</v>
      </c>
      <c r="BL16" s="54"/>
      <c r="BM16" s="58">
        <f>BK16-BG16</f>
        <v>-500</v>
      </c>
      <c r="BN16" s="58"/>
      <c r="BO16" s="66">
        <v>618.87</v>
      </c>
      <c r="BP16" s="66"/>
      <c r="BQ16" s="66">
        <v>553.87</v>
      </c>
      <c r="BR16" s="66"/>
      <c r="BS16" s="66">
        <f t="shared" si="1"/>
        <v>-3946.13</v>
      </c>
      <c r="BT16" s="58"/>
      <c r="BU16" s="54">
        <v>9000</v>
      </c>
      <c r="BV16" s="58"/>
      <c r="BW16" s="58">
        <f t="shared" ref="BW16:BW18" si="9">BU16-BK16</f>
        <v>4500</v>
      </c>
      <c r="BX16" s="58"/>
      <c r="BY16" s="91" t="s">
        <v>248</v>
      </c>
      <c r="BZ16" s="66">
        <v>5100</v>
      </c>
      <c r="CA16" s="115"/>
      <c r="CB16" s="60">
        <v>9000</v>
      </c>
      <c r="CC16" s="60"/>
      <c r="CD16" s="60">
        <v>6750</v>
      </c>
      <c r="CE16" s="60"/>
      <c r="CF16" s="60">
        <v>9000</v>
      </c>
      <c r="CG16" s="60"/>
      <c r="CH16" s="61">
        <f t="shared" si="4"/>
        <v>0</v>
      </c>
      <c r="CI16" s="200"/>
      <c r="CJ16" s="295" t="s">
        <v>204</v>
      </c>
    </row>
    <row r="17" spans="1:88" ht="18" customHeight="1" thickBot="1" x14ac:dyDescent="0.25">
      <c r="A17" s="4"/>
      <c r="B17" s="27"/>
      <c r="C17" s="28"/>
      <c r="D17" s="28" t="s">
        <v>180</v>
      </c>
      <c r="E17" s="29"/>
      <c r="F17" s="28"/>
      <c r="G17" s="30"/>
      <c r="H17" s="31"/>
      <c r="I17" s="30"/>
      <c r="J17" s="31"/>
      <c r="K17" s="30"/>
      <c r="L17" s="31"/>
      <c r="M17" s="32"/>
      <c r="N17" s="31"/>
      <c r="O17" s="30"/>
      <c r="P17" s="31"/>
      <c r="Q17" s="30"/>
      <c r="R17" s="31"/>
      <c r="S17" s="30"/>
      <c r="T17" s="31"/>
      <c r="U17" s="32"/>
      <c r="V17" s="31"/>
      <c r="W17" s="33"/>
      <c r="X17" s="33"/>
      <c r="Y17" s="33"/>
      <c r="Z17" s="33"/>
      <c r="AA17" s="33"/>
      <c r="AB17" s="33"/>
      <c r="AC17" s="33"/>
      <c r="AD17" s="34"/>
      <c r="AE17" s="34"/>
      <c r="AF17" s="49"/>
      <c r="AG17" s="50"/>
      <c r="AH17" s="51"/>
      <c r="AI17" s="51"/>
      <c r="AJ17" s="51"/>
      <c r="AK17" s="51"/>
      <c r="AL17" s="73"/>
      <c r="AM17" s="73"/>
      <c r="AN17" s="73"/>
      <c r="AO17" s="73"/>
      <c r="AP17" s="73"/>
      <c r="AQ17" s="73"/>
      <c r="AR17" s="73"/>
      <c r="AS17" s="73"/>
      <c r="AT17" s="73"/>
      <c r="AU17" s="116"/>
      <c r="AV17" s="93"/>
      <c r="AW17" s="94"/>
      <c r="AX17" s="95"/>
      <c r="AY17" s="96"/>
      <c r="AZ17" s="97"/>
      <c r="BA17" s="93"/>
      <c r="BB17" s="117"/>
      <c r="BC17" s="99"/>
      <c r="BD17" s="93"/>
      <c r="BE17" s="93"/>
      <c r="BF17" s="93"/>
      <c r="BG17" s="93"/>
      <c r="BH17" s="93"/>
      <c r="BI17" s="100"/>
      <c r="BJ17" s="93"/>
      <c r="BK17" s="93">
        <v>1237.74</v>
      </c>
      <c r="BL17" s="93"/>
      <c r="BM17" s="101">
        <f>BK17-BG17</f>
        <v>1237.74</v>
      </c>
      <c r="BN17" s="101"/>
      <c r="BO17" s="102">
        <v>2250</v>
      </c>
      <c r="BP17" s="102"/>
      <c r="BQ17" s="102">
        <v>4500</v>
      </c>
      <c r="BR17" s="102"/>
      <c r="BS17" s="102">
        <f t="shared" si="1"/>
        <v>3262.26</v>
      </c>
      <c r="BT17" s="101"/>
      <c r="BU17" s="93">
        <v>5000</v>
      </c>
      <c r="BV17" s="101"/>
      <c r="BW17" s="101">
        <f t="shared" si="9"/>
        <v>3762.26</v>
      </c>
      <c r="BX17" s="58"/>
      <c r="BY17" s="90" t="s">
        <v>204</v>
      </c>
      <c r="BZ17" s="102">
        <v>0</v>
      </c>
      <c r="CA17" s="118"/>
      <c r="CB17" s="99">
        <v>5000</v>
      </c>
      <c r="CC17" s="99"/>
      <c r="CD17" s="99">
        <v>210</v>
      </c>
      <c r="CE17" s="99"/>
      <c r="CF17" s="99">
        <v>3000</v>
      </c>
      <c r="CG17" s="99"/>
      <c r="CH17" s="103">
        <f t="shared" si="4"/>
        <v>-2000</v>
      </c>
      <c r="CI17" s="129"/>
      <c r="CJ17" s="300" t="s">
        <v>239</v>
      </c>
    </row>
    <row r="18" spans="1:88" ht="15.75" customHeight="1" x14ac:dyDescent="0.2">
      <c r="A18" s="4"/>
      <c r="B18" s="27" t="s">
        <v>194</v>
      </c>
      <c r="C18" s="28"/>
      <c r="D18" s="28"/>
      <c r="E18" s="29"/>
      <c r="F18" s="28"/>
      <c r="G18" s="30"/>
      <c r="H18" s="31"/>
      <c r="I18" s="30"/>
      <c r="J18" s="31"/>
      <c r="K18" s="30"/>
      <c r="L18" s="31"/>
      <c r="M18" s="32"/>
      <c r="N18" s="31"/>
      <c r="O18" s="30"/>
      <c r="P18" s="31"/>
      <c r="Q18" s="30"/>
      <c r="R18" s="31"/>
      <c r="S18" s="30"/>
      <c r="T18" s="31"/>
      <c r="U18" s="32"/>
      <c r="V18" s="31"/>
      <c r="W18" s="33"/>
      <c r="X18" s="33"/>
      <c r="Y18" s="33"/>
      <c r="Z18" s="33"/>
      <c r="AA18" s="33"/>
      <c r="AB18" s="33"/>
      <c r="AC18" s="33"/>
      <c r="AD18" s="34"/>
      <c r="AE18" s="34"/>
      <c r="AF18" s="39"/>
      <c r="AG18" s="40"/>
      <c r="AH18" s="41"/>
      <c r="AI18" s="41"/>
      <c r="AJ18" s="41"/>
      <c r="AK18" s="41"/>
      <c r="AL18" s="41">
        <f>AL17+AL16</f>
        <v>5000</v>
      </c>
      <c r="AM18" s="41"/>
      <c r="AN18" s="41">
        <f t="shared" ref="AN18:BM18" si="10">AN17+AN16</f>
        <v>4586</v>
      </c>
      <c r="AO18" s="41">
        <f t="shared" si="10"/>
        <v>0</v>
      </c>
      <c r="AP18" s="41">
        <f t="shared" si="10"/>
        <v>2250</v>
      </c>
      <c r="AQ18" s="41">
        <f t="shared" si="10"/>
        <v>0</v>
      </c>
      <c r="AR18" s="41">
        <f t="shared" si="10"/>
        <v>1249.97</v>
      </c>
      <c r="AS18" s="41">
        <f t="shared" si="10"/>
        <v>4500</v>
      </c>
      <c r="AT18" s="41">
        <f t="shared" si="10"/>
        <v>0</v>
      </c>
      <c r="AU18" s="41">
        <f t="shared" si="10"/>
        <v>0</v>
      </c>
      <c r="AV18" s="79">
        <f t="shared" si="10"/>
        <v>5000</v>
      </c>
      <c r="AW18" s="79">
        <f t="shared" si="10"/>
        <v>0</v>
      </c>
      <c r="AX18" s="79">
        <f t="shared" si="10"/>
        <v>-414</v>
      </c>
      <c r="AY18" s="79">
        <f t="shared" si="10"/>
        <v>0</v>
      </c>
      <c r="AZ18" s="79">
        <f t="shared" si="10"/>
        <v>2250</v>
      </c>
      <c r="BA18" s="79">
        <f t="shared" si="10"/>
        <v>0</v>
      </c>
      <c r="BB18" s="79">
        <f t="shared" si="10"/>
        <v>0</v>
      </c>
      <c r="BC18" s="83">
        <f t="shared" si="10"/>
        <v>0</v>
      </c>
      <c r="BD18" s="79">
        <f t="shared" si="10"/>
        <v>4500</v>
      </c>
      <c r="BE18" s="79">
        <f t="shared" si="10"/>
        <v>0</v>
      </c>
      <c r="BF18" s="79">
        <f t="shared" si="10"/>
        <v>0</v>
      </c>
      <c r="BG18" s="79">
        <f t="shared" si="10"/>
        <v>5000</v>
      </c>
      <c r="BH18" s="79">
        <f t="shared" si="10"/>
        <v>0</v>
      </c>
      <c r="BI18" s="79">
        <f t="shared" si="10"/>
        <v>4500</v>
      </c>
      <c r="BJ18" s="79">
        <f t="shared" si="10"/>
        <v>0</v>
      </c>
      <c r="BK18" s="79">
        <f t="shared" si="10"/>
        <v>5737.74</v>
      </c>
      <c r="BL18" s="79">
        <f t="shared" si="10"/>
        <v>0</v>
      </c>
      <c r="BM18" s="84">
        <f t="shared" si="10"/>
        <v>737.74</v>
      </c>
      <c r="BN18" s="84"/>
      <c r="BO18" s="85">
        <v>2868.87</v>
      </c>
      <c r="BP18" s="85"/>
      <c r="BQ18" s="85">
        <f t="shared" si="7"/>
        <v>5737.74</v>
      </c>
      <c r="BR18" s="85"/>
      <c r="BS18" s="85">
        <f t="shared" si="1"/>
        <v>0</v>
      </c>
      <c r="BT18" s="84"/>
      <c r="BU18" s="79">
        <f t="shared" ref="BU18" si="11">BU17+BU16</f>
        <v>14000</v>
      </c>
      <c r="BV18" s="84"/>
      <c r="BW18" s="84">
        <f t="shared" si="9"/>
        <v>8262.26</v>
      </c>
      <c r="BX18" s="58"/>
      <c r="BY18" s="91"/>
      <c r="BZ18" s="85">
        <f>SUM(BZ16:BZ17)</f>
        <v>5100</v>
      </c>
      <c r="CA18" s="85"/>
      <c r="CB18" s="79">
        <f t="shared" ref="CB18:CF18" si="12">CB17+CB16</f>
        <v>14000</v>
      </c>
      <c r="CC18" s="79"/>
      <c r="CD18" s="79">
        <f>SUM(CD16:CD17)</f>
        <v>6960</v>
      </c>
      <c r="CE18" s="79"/>
      <c r="CF18" s="79">
        <f t="shared" si="12"/>
        <v>12000</v>
      </c>
      <c r="CG18" s="83"/>
      <c r="CH18" s="112">
        <f t="shared" si="4"/>
        <v>-2000</v>
      </c>
      <c r="CI18" s="199"/>
      <c r="CJ18" s="299"/>
    </row>
    <row r="19" spans="1:88" ht="17.25" customHeight="1" x14ac:dyDescent="0.2">
      <c r="A19" s="4"/>
      <c r="B19" s="289" t="s">
        <v>192</v>
      </c>
      <c r="C19" s="288"/>
      <c r="D19" s="288"/>
      <c r="E19" s="290"/>
      <c r="F19" s="288"/>
      <c r="G19" s="30"/>
      <c r="H19" s="31"/>
      <c r="I19" s="30"/>
      <c r="J19" s="31"/>
      <c r="K19" s="30"/>
      <c r="L19" s="31"/>
      <c r="M19" s="32"/>
      <c r="N19" s="31"/>
      <c r="O19" s="30"/>
      <c r="P19" s="31"/>
      <c r="Q19" s="30"/>
      <c r="R19" s="31"/>
      <c r="S19" s="30"/>
      <c r="T19" s="31"/>
      <c r="U19" s="32"/>
      <c r="V19" s="31"/>
      <c r="W19" s="33"/>
      <c r="X19" s="33"/>
      <c r="Y19" s="33"/>
      <c r="Z19" s="33"/>
      <c r="AA19" s="33"/>
      <c r="AB19" s="33"/>
      <c r="AC19" s="33"/>
      <c r="AD19" s="34"/>
      <c r="AE19" s="34"/>
      <c r="AF19" s="39"/>
      <c r="AG19" s="40"/>
      <c r="AH19" s="41"/>
      <c r="AI19" s="41"/>
      <c r="AJ19" s="41"/>
      <c r="AK19" s="41"/>
      <c r="AL19" s="41"/>
      <c r="AM19" s="41"/>
      <c r="AN19" s="41"/>
      <c r="AO19" s="41"/>
      <c r="AP19" s="78"/>
      <c r="AQ19" s="41"/>
      <c r="AR19" s="41"/>
      <c r="AS19" s="41"/>
      <c r="AT19" s="41"/>
      <c r="AU19" s="42"/>
      <c r="AV19" s="79"/>
      <c r="AW19" s="80"/>
      <c r="AX19" s="81"/>
      <c r="AY19" s="88"/>
      <c r="AZ19" s="89"/>
      <c r="BA19" s="79"/>
      <c r="BB19" s="82"/>
      <c r="BC19" s="83"/>
      <c r="BD19" s="54"/>
      <c r="BE19" s="54"/>
      <c r="BF19" s="54"/>
      <c r="BG19" s="54"/>
      <c r="BH19" s="54"/>
      <c r="BI19" s="57"/>
      <c r="BJ19" s="54"/>
      <c r="BK19" s="54"/>
      <c r="BL19" s="54"/>
      <c r="BM19" s="58"/>
      <c r="BN19" s="58"/>
      <c r="BO19" s="54"/>
      <c r="BP19" s="54"/>
      <c r="BQ19" s="66"/>
      <c r="BR19" s="66"/>
      <c r="BS19" s="66"/>
      <c r="BT19" s="58"/>
      <c r="BU19" s="54"/>
      <c r="BV19" s="58"/>
      <c r="BW19" s="58"/>
      <c r="BX19" s="58"/>
      <c r="BY19" s="91"/>
      <c r="BZ19" s="66"/>
      <c r="CA19" s="66"/>
      <c r="CB19" s="54"/>
      <c r="CC19" s="54"/>
      <c r="CD19" s="54"/>
      <c r="CE19" s="54"/>
      <c r="CF19" s="54"/>
      <c r="CG19" s="60"/>
      <c r="CH19" s="61"/>
      <c r="CI19" s="200"/>
      <c r="CJ19" s="294"/>
    </row>
    <row r="20" spans="1:88" ht="14.25" customHeight="1" thickBot="1" x14ac:dyDescent="0.25">
      <c r="A20" s="4"/>
      <c r="B20" s="27"/>
      <c r="C20" s="28" t="s">
        <v>59</v>
      </c>
      <c r="D20" s="28"/>
      <c r="E20" s="29"/>
      <c r="F20" s="28"/>
      <c r="G20" s="30">
        <v>795.11</v>
      </c>
      <c r="H20" s="31"/>
      <c r="I20" s="30">
        <v>416.63</v>
      </c>
      <c r="J20" s="31"/>
      <c r="K20" s="30">
        <f>ROUND((G20-I20),5)</f>
        <v>378.48</v>
      </c>
      <c r="L20" s="31"/>
      <c r="M20" s="32">
        <f>ROUND(IF(I20=0, IF(G20=0, 0, 1), G20/I20),5)</f>
        <v>1.9084300000000001</v>
      </c>
      <c r="N20" s="31"/>
      <c r="O20" s="30">
        <v>0</v>
      </c>
      <c r="P20" s="31"/>
      <c r="Q20" s="30">
        <v>416.67</v>
      </c>
      <c r="R20" s="31"/>
      <c r="S20" s="30">
        <f>ROUND((O20-Q20),5)</f>
        <v>-416.67</v>
      </c>
      <c r="T20" s="31"/>
      <c r="U20" s="32">
        <f>ROUND(IF(Q20=0, IF(O20=0, 0, 1), O20/Q20),5)</f>
        <v>0</v>
      </c>
      <c r="V20" s="31"/>
      <c r="W20" s="33">
        <v>1378.2</v>
      </c>
      <c r="X20" s="33"/>
      <c r="Y20" s="33">
        <v>416.67</v>
      </c>
      <c r="Z20" s="33"/>
      <c r="AA20" s="33">
        <f>ROUND((W20-Y20),5)</f>
        <v>961.53</v>
      </c>
      <c r="AB20" s="33"/>
      <c r="AC20" s="33"/>
      <c r="AD20" s="34">
        <v>3000</v>
      </c>
      <c r="AE20" s="34"/>
      <c r="AF20" s="49">
        <v>1967.7</v>
      </c>
      <c r="AG20" s="50"/>
      <c r="AH20" s="51">
        <v>5000</v>
      </c>
      <c r="AI20" s="51"/>
      <c r="AJ20" s="51">
        <v>6462.36</v>
      </c>
      <c r="AK20" s="51"/>
      <c r="AL20" s="51">
        <v>5000</v>
      </c>
      <c r="AM20" s="51"/>
      <c r="AN20" s="51">
        <v>6051.76</v>
      </c>
      <c r="AO20" s="51"/>
      <c r="AP20" s="51">
        <v>2972.45</v>
      </c>
      <c r="AQ20" s="51"/>
      <c r="AR20" s="51">
        <f>ROUND(I20+Q20+Y20,5)</f>
        <v>1249.97</v>
      </c>
      <c r="AS20" s="51">
        <f t="shared" ref="AS20:AS24" si="13">AP20*2</f>
        <v>5944.9</v>
      </c>
      <c r="AT20" s="51"/>
      <c r="AU20" s="65"/>
      <c r="AV20" s="54">
        <v>5000</v>
      </c>
      <c r="AW20" s="55"/>
      <c r="AX20" s="56">
        <f>AN20-AL20</f>
        <v>1051.7600000000002</v>
      </c>
      <c r="AY20" s="88"/>
      <c r="AZ20" s="89">
        <v>5718.05</v>
      </c>
      <c r="BA20" s="54"/>
      <c r="BB20" s="114"/>
      <c r="BC20" s="60"/>
      <c r="BD20" s="54">
        <f>8849.12+511</f>
        <v>9360.1200000000008</v>
      </c>
      <c r="BE20" s="54"/>
      <c r="BF20" s="54"/>
      <c r="BG20" s="54">
        <v>5000</v>
      </c>
      <c r="BH20" s="54"/>
      <c r="BI20" s="57">
        <v>12671.17</v>
      </c>
      <c r="BJ20" s="54"/>
      <c r="BK20" s="54">
        <v>60000</v>
      </c>
      <c r="BL20" s="54"/>
      <c r="BM20" s="58">
        <f t="shared" ref="BM20:BM31" si="14">BK20-BG20</f>
        <v>55000</v>
      </c>
      <c r="BN20" s="58"/>
      <c r="BO20" s="66">
        <v>5315.56</v>
      </c>
      <c r="BP20" s="66"/>
      <c r="BQ20" s="66">
        <v>10178.77</v>
      </c>
      <c r="BR20" s="66"/>
      <c r="BS20" s="66">
        <f t="shared" si="1"/>
        <v>-49821.229999999996</v>
      </c>
      <c r="BT20" s="58"/>
      <c r="BU20" s="54">
        <v>5000</v>
      </c>
      <c r="BV20" s="58"/>
      <c r="BW20" s="58">
        <f t="shared" ref="BW20:BW81" si="15">BU20-BK20</f>
        <v>-55000</v>
      </c>
      <c r="BX20" s="58"/>
      <c r="BY20" s="90" t="s">
        <v>204</v>
      </c>
      <c r="BZ20" s="66">
        <v>6730.5</v>
      </c>
      <c r="CA20" s="66"/>
      <c r="CB20" s="54">
        <v>10000</v>
      </c>
      <c r="CC20" s="54"/>
      <c r="CD20" s="54">
        <v>10828.4</v>
      </c>
      <c r="CE20" s="54"/>
      <c r="CF20" s="54">
        <v>10000</v>
      </c>
      <c r="CG20" s="60"/>
      <c r="CH20" s="61">
        <f t="shared" si="4"/>
        <v>0</v>
      </c>
      <c r="CI20" s="200"/>
      <c r="CJ20" s="295" t="s">
        <v>204</v>
      </c>
    </row>
    <row r="21" spans="1:88" s="7" customFormat="1" ht="14.25" hidden="1" customHeight="1" thickBot="1" x14ac:dyDescent="0.25">
      <c r="B21" s="27"/>
      <c r="C21" s="36"/>
      <c r="D21" s="28"/>
      <c r="E21" s="29"/>
      <c r="F21" s="28"/>
      <c r="G21" s="30"/>
      <c r="H21" s="31"/>
      <c r="I21" s="30"/>
      <c r="J21" s="31"/>
      <c r="K21" s="30"/>
      <c r="L21" s="31"/>
      <c r="M21" s="32"/>
      <c r="N21" s="31"/>
      <c r="O21" s="30"/>
      <c r="P21" s="31"/>
      <c r="Q21" s="30"/>
      <c r="R21" s="31"/>
      <c r="S21" s="30"/>
      <c r="T21" s="31"/>
      <c r="U21" s="32"/>
      <c r="V21" s="31"/>
      <c r="W21" s="33"/>
      <c r="X21" s="33"/>
      <c r="Y21" s="33"/>
      <c r="Z21" s="33"/>
      <c r="AA21" s="33"/>
      <c r="AB21" s="33"/>
      <c r="AC21" s="33"/>
      <c r="AD21" s="34"/>
      <c r="AE21" s="34"/>
      <c r="AF21" s="49"/>
      <c r="AG21" s="50"/>
      <c r="AH21" s="51"/>
      <c r="AI21" s="51"/>
      <c r="AJ21" s="51"/>
      <c r="AK21" s="51"/>
      <c r="AL21" s="51"/>
      <c r="AM21" s="51"/>
      <c r="AN21" s="51"/>
      <c r="AO21" s="51"/>
      <c r="AP21" s="51"/>
      <c r="AQ21" s="51"/>
      <c r="AR21" s="51"/>
      <c r="AS21" s="51">
        <f t="shared" si="13"/>
        <v>0</v>
      </c>
      <c r="AT21" s="51"/>
      <c r="AU21" s="65"/>
      <c r="AV21" s="54"/>
      <c r="AW21" s="55"/>
      <c r="AX21" s="56"/>
      <c r="AY21" s="56"/>
      <c r="AZ21" s="54"/>
      <c r="BA21" s="54"/>
      <c r="BB21" s="54"/>
      <c r="BC21" s="60"/>
      <c r="BD21" s="54"/>
      <c r="BE21" s="54"/>
      <c r="BF21" s="54"/>
      <c r="BG21" s="54"/>
      <c r="BH21" s="54"/>
      <c r="BI21" s="54"/>
      <c r="BJ21" s="54"/>
      <c r="BK21" s="54"/>
      <c r="BL21" s="54"/>
      <c r="BM21" s="58"/>
      <c r="BN21" s="58"/>
      <c r="BO21" s="66"/>
      <c r="BP21" s="66"/>
      <c r="BQ21" s="66"/>
      <c r="BR21" s="66"/>
      <c r="BS21" s="66"/>
      <c r="BT21" s="58"/>
      <c r="BU21" s="54"/>
      <c r="BV21" s="58"/>
      <c r="BW21" s="58"/>
      <c r="BX21" s="58"/>
      <c r="BY21" s="91"/>
      <c r="BZ21" s="66"/>
      <c r="CA21" s="66"/>
      <c r="CB21" s="54"/>
      <c r="CC21" s="54"/>
      <c r="CD21" s="54"/>
      <c r="CE21" s="54"/>
      <c r="CF21" s="54"/>
      <c r="CG21" s="60"/>
      <c r="CH21" s="61">
        <f t="shared" si="4"/>
        <v>0</v>
      </c>
      <c r="CI21" s="200"/>
      <c r="CJ21" s="301"/>
    </row>
    <row r="22" spans="1:88" s="7" customFormat="1" ht="12" hidden="1" customHeight="1" x14ac:dyDescent="0.2">
      <c r="A22" s="6"/>
      <c r="B22" s="27"/>
      <c r="C22" s="28"/>
      <c r="D22" s="28" t="s">
        <v>73</v>
      </c>
      <c r="E22" s="29"/>
      <c r="F22" s="28"/>
      <c r="G22" s="30">
        <v>1899.07</v>
      </c>
      <c r="H22" s="31"/>
      <c r="I22" s="30">
        <v>1875</v>
      </c>
      <c r="J22" s="31"/>
      <c r="K22" s="30">
        <f t="shared" ref="K22:K25" si="16">ROUND((G22-I22),5)</f>
        <v>24.07</v>
      </c>
      <c r="L22" s="31"/>
      <c r="M22" s="32">
        <f t="shared" ref="M22:M25" si="17">ROUND(IF(I22=0, IF(G22=0, 0, 1), G22/I22),5)</f>
        <v>1.01284</v>
      </c>
      <c r="N22" s="31"/>
      <c r="O22" s="30">
        <v>99.95</v>
      </c>
      <c r="P22" s="31"/>
      <c r="Q22" s="30">
        <v>1875</v>
      </c>
      <c r="R22" s="31"/>
      <c r="S22" s="30">
        <f t="shared" ref="S22:S25" si="18">ROUND((O22-Q22),5)</f>
        <v>-1775.05</v>
      </c>
      <c r="T22" s="31"/>
      <c r="U22" s="32">
        <f t="shared" ref="U22:U25" si="19">ROUND(IF(Q22=0, IF(O22=0, 0, 1), O22/Q22),5)</f>
        <v>5.3310000000000003E-2</v>
      </c>
      <c r="V22" s="31"/>
      <c r="W22" s="33">
        <v>3570.61</v>
      </c>
      <c r="X22" s="33"/>
      <c r="Y22" s="33">
        <v>1875</v>
      </c>
      <c r="Z22" s="33"/>
      <c r="AA22" s="33">
        <f t="shared" ref="AA22:AA25" si="20">ROUND((W22-Y22),5)</f>
        <v>1695.61</v>
      </c>
      <c r="AB22" s="33"/>
      <c r="AC22" s="33"/>
      <c r="AD22" s="34">
        <v>21500</v>
      </c>
      <c r="AE22" s="34"/>
      <c r="AF22" s="49">
        <v>22195.11</v>
      </c>
      <c r="AG22" s="50"/>
      <c r="AH22" s="51">
        <v>15000</v>
      </c>
      <c r="AI22" s="51"/>
      <c r="AJ22" s="51">
        <v>22168.43</v>
      </c>
      <c r="AK22" s="51"/>
      <c r="AL22" s="51">
        <v>25000</v>
      </c>
      <c r="AM22" s="51"/>
      <c r="AN22" s="51">
        <v>21828.68</v>
      </c>
      <c r="AO22" s="51"/>
      <c r="AP22" s="51">
        <v>11116.94</v>
      </c>
      <c r="AQ22" s="51"/>
      <c r="AR22" s="51">
        <f>ROUND(I22+Q22+Y22,5)</f>
        <v>5625</v>
      </c>
      <c r="AS22" s="51">
        <f t="shared" si="13"/>
        <v>22233.88</v>
      </c>
      <c r="AT22" s="51"/>
      <c r="AU22" s="65"/>
      <c r="AV22" s="54">
        <v>20000</v>
      </c>
      <c r="AW22" s="55"/>
      <c r="AX22" s="56">
        <f t="shared" ref="AX22:AX24" si="21">AN22-AL22</f>
        <v>-3171.3199999999997</v>
      </c>
      <c r="AY22" s="56"/>
      <c r="AZ22" s="54">
        <v>10157.950000000001</v>
      </c>
      <c r="BA22" s="54"/>
      <c r="BB22" s="54"/>
      <c r="BC22" s="60"/>
      <c r="BD22" s="54">
        <v>20364.66</v>
      </c>
      <c r="BE22" s="54"/>
      <c r="BF22" s="54"/>
      <c r="BG22" s="54">
        <v>20000</v>
      </c>
      <c r="BH22" s="54"/>
      <c r="BI22" s="57">
        <v>30311.95</v>
      </c>
      <c r="BJ22" s="54"/>
      <c r="BK22" s="54">
        <v>44684.23</v>
      </c>
      <c r="BL22" s="54"/>
      <c r="BM22" s="58">
        <f t="shared" si="14"/>
        <v>24684.230000000003</v>
      </c>
      <c r="BN22" s="58"/>
      <c r="BO22" s="66">
        <v>20551.13</v>
      </c>
      <c r="BP22" s="66"/>
      <c r="BQ22" s="66">
        <v>42331.78</v>
      </c>
      <c r="BR22" s="66"/>
      <c r="BS22" s="66">
        <f t="shared" si="1"/>
        <v>-2352.4500000000044</v>
      </c>
      <c r="BT22" s="58"/>
      <c r="BU22" s="54">
        <v>20000</v>
      </c>
      <c r="BV22" s="58"/>
      <c r="BW22" s="58">
        <f t="shared" si="15"/>
        <v>-24684.230000000003</v>
      </c>
      <c r="BX22" s="58"/>
      <c r="BY22" s="90" t="s">
        <v>204</v>
      </c>
      <c r="BZ22" s="66">
        <v>54706.65</v>
      </c>
      <c r="CA22" s="66"/>
      <c r="CB22" s="54">
        <v>45000</v>
      </c>
      <c r="CC22" s="54"/>
      <c r="CD22" s="54">
        <f>(20712.54/5)*12</f>
        <v>49710.095999999998</v>
      </c>
      <c r="CE22" s="54"/>
      <c r="CF22" s="54">
        <v>45000</v>
      </c>
      <c r="CG22" s="60"/>
      <c r="CH22" s="61">
        <f t="shared" si="4"/>
        <v>0</v>
      </c>
      <c r="CI22" s="200"/>
      <c r="CJ22" s="295" t="s">
        <v>204</v>
      </c>
    </row>
    <row r="23" spans="1:88" ht="27.75" hidden="1" customHeight="1" x14ac:dyDescent="0.2">
      <c r="A23" s="4"/>
      <c r="B23" s="27"/>
      <c r="C23" s="356" t="s">
        <v>21</v>
      </c>
      <c r="D23" s="356"/>
      <c r="E23" s="356"/>
      <c r="F23" s="356"/>
      <c r="G23" s="30">
        <v>596.29</v>
      </c>
      <c r="H23" s="31"/>
      <c r="I23" s="30">
        <v>666.63</v>
      </c>
      <c r="J23" s="31"/>
      <c r="K23" s="30">
        <f>ROUND((G23-I23),5)</f>
        <v>-70.34</v>
      </c>
      <c r="L23" s="31"/>
      <c r="M23" s="32">
        <f>ROUND(IF(I23=0, IF(G23=0, 0, 1), G23/I23),5)</f>
        <v>0.89448000000000005</v>
      </c>
      <c r="N23" s="31"/>
      <c r="O23" s="30">
        <v>607.41</v>
      </c>
      <c r="P23" s="31"/>
      <c r="Q23" s="30">
        <v>666.67</v>
      </c>
      <c r="R23" s="31"/>
      <c r="S23" s="30">
        <f>ROUND((O23-Q23),5)</f>
        <v>-59.26</v>
      </c>
      <c r="T23" s="31"/>
      <c r="U23" s="32">
        <f>ROUND(IF(Q23=0, IF(O23=0, 0, 1), O23/Q23),5)</f>
        <v>0.91110999999999998</v>
      </c>
      <c r="V23" s="31"/>
      <c r="W23" s="33">
        <v>823.88</v>
      </c>
      <c r="X23" s="33"/>
      <c r="Y23" s="33">
        <v>666.67</v>
      </c>
      <c r="Z23" s="33"/>
      <c r="AA23" s="33">
        <f>ROUND((W23-Y23),5)</f>
        <v>157.21</v>
      </c>
      <c r="AB23" s="33"/>
      <c r="AC23" s="33"/>
      <c r="AD23" s="34"/>
      <c r="AE23" s="34"/>
      <c r="AF23" s="49"/>
      <c r="AG23" s="50"/>
      <c r="AH23" s="51"/>
      <c r="AI23" s="51"/>
      <c r="AJ23" s="51">
        <v>7829.89</v>
      </c>
      <c r="AK23" s="51"/>
      <c r="AL23" s="51">
        <v>8000</v>
      </c>
      <c r="AM23" s="51"/>
      <c r="AN23" s="51">
        <v>8830.6299999999992</v>
      </c>
      <c r="AO23" s="51"/>
      <c r="AP23" s="51">
        <v>4389.2299999999996</v>
      </c>
      <c r="AQ23" s="51"/>
      <c r="AR23" s="51">
        <f>ROUND(I23+Q23+Y23,5)</f>
        <v>1999.97</v>
      </c>
      <c r="AS23" s="51">
        <f>AP23*2</f>
        <v>8778.4599999999991</v>
      </c>
      <c r="AT23" s="51"/>
      <c r="AU23" s="65"/>
      <c r="AV23" s="54">
        <v>8800</v>
      </c>
      <c r="AW23" s="55"/>
      <c r="AX23" s="56">
        <f>AN23-AL23</f>
        <v>830.6299999999992</v>
      </c>
      <c r="AY23" s="88"/>
      <c r="AZ23" s="89">
        <v>4414.29</v>
      </c>
      <c r="BA23" s="54"/>
      <c r="BB23" s="82"/>
      <c r="BC23" s="60"/>
      <c r="BD23" s="54">
        <v>11142.7</v>
      </c>
      <c r="BE23" s="54"/>
      <c r="BF23" s="54"/>
      <c r="BG23" s="54">
        <v>8800</v>
      </c>
      <c r="BH23" s="54"/>
      <c r="BI23" s="57">
        <v>11973.11</v>
      </c>
      <c r="BJ23" s="54"/>
      <c r="BK23" s="54">
        <v>15000</v>
      </c>
      <c r="BL23" s="54"/>
      <c r="BM23" s="58">
        <f>BK23-BG23</f>
        <v>6200</v>
      </c>
      <c r="BN23" s="58"/>
      <c r="BO23" s="66">
        <v>26848.77</v>
      </c>
      <c r="BP23" s="66"/>
      <c r="BQ23" s="66">
        <f>487.85+14365.8</f>
        <v>14853.65</v>
      </c>
      <c r="BR23" s="66"/>
      <c r="BS23" s="66">
        <f t="shared" si="1"/>
        <v>-146.35000000000036</v>
      </c>
      <c r="BT23" s="58"/>
      <c r="BU23" s="54">
        <v>12500</v>
      </c>
      <c r="BV23" s="58"/>
      <c r="BW23" s="58">
        <f t="shared" si="15"/>
        <v>-2500</v>
      </c>
      <c r="BX23" s="58"/>
      <c r="BY23" s="91" t="s">
        <v>249</v>
      </c>
      <c r="BZ23" s="66">
        <v>16096.35</v>
      </c>
      <c r="CA23" s="66"/>
      <c r="CB23" s="54">
        <v>12500</v>
      </c>
      <c r="CC23" s="54"/>
      <c r="CD23" s="54">
        <f>(6535.19/5)*12</f>
        <v>15684.456</v>
      </c>
      <c r="CE23" s="54"/>
      <c r="CF23" s="54">
        <v>15000</v>
      </c>
      <c r="CG23" s="60"/>
      <c r="CH23" s="61">
        <f t="shared" si="4"/>
        <v>2500</v>
      </c>
      <c r="CI23" s="200"/>
      <c r="CJ23" s="301" t="s">
        <v>250</v>
      </c>
    </row>
    <row r="24" spans="1:88" s="7" customFormat="1" ht="15" hidden="1" customHeight="1" thickBot="1" x14ac:dyDescent="0.25">
      <c r="A24" s="6"/>
      <c r="B24" s="27"/>
      <c r="C24" s="28"/>
      <c r="D24" s="351" t="s">
        <v>230</v>
      </c>
      <c r="E24" s="351"/>
      <c r="F24" s="351"/>
      <c r="G24" s="119">
        <v>3351.85</v>
      </c>
      <c r="H24" s="120"/>
      <c r="I24" s="119">
        <v>1250</v>
      </c>
      <c r="J24" s="120"/>
      <c r="K24" s="119">
        <f t="shared" si="16"/>
        <v>2101.85</v>
      </c>
      <c r="L24" s="120"/>
      <c r="M24" s="121">
        <f t="shared" si="17"/>
        <v>2.6814800000000001</v>
      </c>
      <c r="N24" s="120"/>
      <c r="O24" s="119">
        <v>840</v>
      </c>
      <c r="P24" s="120"/>
      <c r="Q24" s="119">
        <v>1250</v>
      </c>
      <c r="R24" s="120"/>
      <c r="S24" s="119">
        <f t="shared" si="18"/>
        <v>-410</v>
      </c>
      <c r="T24" s="120"/>
      <c r="U24" s="121">
        <f t="shared" si="19"/>
        <v>0.67200000000000004</v>
      </c>
      <c r="V24" s="120"/>
      <c r="W24" s="34">
        <v>2241.81</v>
      </c>
      <c r="X24" s="34"/>
      <c r="Y24" s="34">
        <v>1250</v>
      </c>
      <c r="Z24" s="34"/>
      <c r="AA24" s="34">
        <f t="shared" si="20"/>
        <v>991.81</v>
      </c>
      <c r="AB24" s="34"/>
      <c r="AC24" s="34"/>
      <c r="AD24" s="34"/>
      <c r="AE24" s="34"/>
      <c r="AF24" s="71"/>
      <c r="AG24" s="72"/>
      <c r="AH24" s="93">
        <v>15000</v>
      </c>
      <c r="AI24" s="93"/>
      <c r="AJ24" s="93">
        <v>43230.98</v>
      </c>
      <c r="AK24" s="93"/>
      <c r="AL24" s="93">
        <v>15000</v>
      </c>
      <c r="AM24" s="93"/>
      <c r="AN24" s="93">
        <v>28348.5</v>
      </c>
      <c r="AO24" s="93"/>
      <c r="AP24" s="93">
        <v>15314.9</v>
      </c>
      <c r="AQ24" s="93"/>
      <c r="AR24" s="93">
        <f>ROUND(I24+Q24+Y24,5)</f>
        <v>3750</v>
      </c>
      <c r="AS24" s="93">
        <f t="shared" si="13"/>
        <v>30629.8</v>
      </c>
      <c r="AT24" s="93"/>
      <c r="AU24" s="122"/>
      <c r="AV24" s="93">
        <v>15000</v>
      </c>
      <c r="AW24" s="94"/>
      <c r="AX24" s="95">
        <f t="shared" si="21"/>
        <v>13348.5</v>
      </c>
      <c r="AY24" s="95"/>
      <c r="AZ24" s="93">
        <v>20570.93</v>
      </c>
      <c r="BA24" s="93"/>
      <c r="BB24" s="93"/>
      <c r="BC24" s="99"/>
      <c r="BD24" s="93">
        <f>39212.14-66.55</f>
        <v>39145.589999999997</v>
      </c>
      <c r="BE24" s="93"/>
      <c r="BF24" s="93"/>
      <c r="BG24" s="93">
        <v>15000</v>
      </c>
      <c r="BH24" s="93"/>
      <c r="BI24" s="100">
        <f>69731.13+73.99</f>
        <v>69805.12000000001</v>
      </c>
      <c r="BJ24" s="93"/>
      <c r="BK24" s="93">
        <v>82500</v>
      </c>
      <c r="BL24" s="93"/>
      <c r="BM24" s="101">
        <f t="shared" si="14"/>
        <v>67500</v>
      </c>
      <c r="BN24" s="101"/>
      <c r="BO24" s="102">
        <v>54358.69</v>
      </c>
      <c r="BP24" s="102"/>
      <c r="BQ24" s="102">
        <v>45803.58</v>
      </c>
      <c r="BR24" s="102"/>
      <c r="BS24" s="102">
        <f t="shared" si="1"/>
        <v>-36696.42</v>
      </c>
      <c r="BT24" s="101"/>
      <c r="BU24" s="93">
        <v>82500</v>
      </c>
      <c r="BV24" s="101"/>
      <c r="BW24" s="101">
        <f t="shared" si="15"/>
        <v>0</v>
      </c>
      <c r="BX24" s="58"/>
      <c r="BY24" s="91" t="s">
        <v>251</v>
      </c>
      <c r="BZ24" s="102">
        <v>58862.81</v>
      </c>
      <c r="CA24" s="102"/>
      <c r="CB24" s="93">
        <v>82500</v>
      </c>
      <c r="CC24" s="93"/>
      <c r="CD24" s="93">
        <f>(31625.89/5)*12</f>
        <v>75902.135999999999</v>
      </c>
      <c r="CE24" s="93"/>
      <c r="CF24" s="93">
        <v>82500</v>
      </c>
      <c r="CG24" s="123"/>
      <c r="CH24" s="61">
        <f t="shared" si="4"/>
        <v>0</v>
      </c>
      <c r="CI24" s="224"/>
      <c r="CJ24" s="302"/>
    </row>
    <row r="25" spans="1:88" s="7" customFormat="1" ht="16.5" customHeight="1" thickBot="1" x14ac:dyDescent="0.25">
      <c r="A25" s="6"/>
      <c r="B25" s="124"/>
      <c r="C25" s="28" t="s">
        <v>181</v>
      </c>
      <c r="D25" s="28"/>
      <c r="E25" s="29"/>
      <c r="F25" s="28"/>
      <c r="G25" s="30">
        <f>ROUND(SUM(G21:G24),5)</f>
        <v>5847.21</v>
      </c>
      <c r="H25" s="31"/>
      <c r="I25" s="30">
        <f>ROUND(SUM(I21:I24),5)</f>
        <v>3791.63</v>
      </c>
      <c r="J25" s="31"/>
      <c r="K25" s="30">
        <f t="shared" si="16"/>
        <v>2055.58</v>
      </c>
      <c r="L25" s="31"/>
      <c r="M25" s="32">
        <f t="shared" si="17"/>
        <v>1.5421400000000001</v>
      </c>
      <c r="N25" s="31"/>
      <c r="O25" s="30">
        <f>ROUND(SUM(O21:O24),5)</f>
        <v>1547.36</v>
      </c>
      <c r="P25" s="31"/>
      <c r="Q25" s="30">
        <f>ROUND(SUM(Q21:Q24),5)</f>
        <v>3791.67</v>
      </c>
      <c r="R25" s="31"/>
      <c r="S25" s="30">
        <f t="shared" si="18"/>
        <v>-2244.31</v>
      </c>
      <c r="T25" s="31"/>
      <c r="U25" s="32">
        <f t="shared" si="19"/>
        <v>0.40809000000000001</v>
      </c>
      <c r="V25" s="31"/>
      <c r="W25" s="76">
        <f>SUM(W22:W24)</f>
        <v>6636.2999999999993</v>
      </c>
      <c r="X25" s="76"/>
      <c r="Y25" s="76">
        <f>SUM(Y22:Y24)</f>
        <v>3791.67</v>
      </c>
      <c r="Z25" s="76"/>
      <c r="AA25" s="76">
        <f t="shared" si="20"/>
        <v>2844.63</v>
      </c>
      <c r="AB25" s="76"/>
      <c r="AC25" s="76"/>
      <c r="AD25" s="77">
        <f>SUM(AD22:AD24)</f>
        <v>21500</v>
      </c>
      <c r="AE25" s="77"/>
      <c r="AF25" s="39">
        <f>SUM(AF22:AF24)</f>
        <v>22195.11</v>
      </c>
      <c r="AG25" s="40"/>
      <c r="AH25" s="41">
        <f>SUM(AH22:AH24)</f>
        <v>30000</v>
      </c>
      <c r="AI25" s="41"/>
      <c r="AJ25" s="41">
        <v>95800.73000000001</v>
      </c>
      <c r="AK25" s="41"/>
      <c r="AL25" s="41">
        <f>SUM(AL22:AL24)</f>
        <v>48000</v>
      </c>
      <c r="AM25" s="41"/>
      <c r="AN25" s="41">
        <f t="shared" ref="AN25:BM25" si="22">SUM(AN22:AN24)</f>
        <v>59007.81</v>
      </c>
      <c r="AO25" s="41">
        <f t="shared" si="22"/>
        <v>0</v>
      </c>
      <c r="AP25" s="41">
        <f t="shared" si="22"/>
        <v>30821.07</v>
      </c>
      <c r="AQ25" s="41">
        <f t="shared" si="22"/>
        <v>0</v>
      </c>
      <c r="AR25" s="41">
        <f t="shared" si="22"/>
        <v>11374.970000000001</v>
      </c>
      <c r="AS25" s="41">
        <f t="shared" si="22"/>
        <v>61642.14</v>
      </c>
      <c r="AT25" s="41">
        <f t="shared" si="22"/>
        <v>0</v>
      </c>
      <c r="AU25" s="41">
        <f t="shared" si="22"/>
        <v>0</v>
      </c>
      <c r="AV25" s="79">
        <f t="shared" si="22"/>
        <v>43800</v>
      </c>
      <c r="AW25" s="79">
        <f t="shared" si="22"/>
        <v>0</v>
      </c>
      <c r="AX25" s="79">
        <f t="shared" si="22"/>
        <v>11007.81</v>
      </c>
      <c r="AY25" s="79">
        <f t="shared" si="22"/>
        <v>0</v>
      </c>
      <c r="AZ25" s="79">
        <f t="shared" si="22"/>
        <v>35143.17</v>
      </c>
      <c r="BA25" s="79">
        <f t="shared" si="22"/>
        <v>0</v>
      </c>
      <c r="BB25" s="79">
        <f t="shared" si="22"/>
        <v>0</v>
      </c>
      <c r="BC25" s="83">
        <f t="shared" si="22"/>
        <v>0</v>
      </c>
      <c r="BD25" s="79">
        <f t="shared" si="22"/>
        <v>70652.95</v>
      </c>
      <c r="BE25" s="79">
        <f t="shared" si="22"/>
        <v>0</v>
      </c>
      <c r="BF25" s="79">
        <f t="shared" si="22"/>
        <v>0</v>
      </c>
      <c r="BG25" s="79">
        <f t="shared" si="22"/>
        <v>43800</v>
      </c>
      <c r="BH25" s="79">
        <f t="shared" si="22"/>
        <v>0</v>
      </c>
      <c r="BI25" s="79">
        <f t="shared" si="22"/>
        <v>112090.18000000001</v>
      </c>
      <c r="BJ25" s="79">
        <f t="shared" si="22"/>
        <v>0</v>
      </c>
      <c r="BK25" s="79">
        <f t="shared" si="22"/>
        <v>142184.23000000001</v>
      </c>
      <c r="BL25" s="79">
        <f t="shared" si="22"/>
        <v>0</v>
      </c>
      <c r="BM25" s="79">
        <f t="shared" si="22"/>
        <v>98384.23000000001</v>
      </c>
      <c r="BN25" s="84"/>
      <c r="BO25" s="85">
        <f>SUM(BO22:BO24)</f>
        <v>101758.59</v>
      </c>
      <c r="BP25" s="85"/>
      <c r="BQ25" s="85">
        <f>+BQ22+BQ23+BQ24</f>
        <v>102989.01000000001</v>
      </c>
      <c r="BR25" s="85"/>
      <c r="BS25" s="85">
        <f t="shared" si="1"/>
        <v>-39195.22</v>
      </c>
      <c r="BT25" s="84"/>
      <c r="BU25" s="79">
        <f>SUM(BU22:BU24)</f>
        <v>115000</v>
      </c>
      <c r="BV25" s="84"/>
      <c r="BW25" s="84">
        <f t="shared" si="15"/>
        <v>-27184.23000000001</v>
      </c>
      <c r="BX25" s="58"/>
      <c r="BY25" s="91"/>
      <c r="BZ25" s="85">
        <f>SUM(BZ22:BZ24)</f>
        <v>129665.81</v>
      </c>
      <c r="CA25" s="85"/>
      <c r="CB25" s="79">
        <f>SUM(CB22:CB24)</f>
        <v>140000</v>
      </c>
      <c r="CC25" s="79"/>
      <c r="CD25" s="54">
        <v>133246.01999999999</v>
      </c>
      <c r="CE25" s="79"/>
      <c r="CF25" s="79">
        <v>140000</v>
      </c>
      <c r="CG25" s="83"/>
      <c r="CH25" s="61">
        <f t="shared" si="4"/>
        <v>0</v>
      </c>
      <c r="CI25" s="199"/>
      <c r="CJ25" s="303" t="s">
        <v>204</v>
      </c>
    </row>
    <row r="26" spans="1:88" s="7" customFormat="1" ht="16.5" customHeight="1" x14ac:dyDescent="0.2">
      <c r="A26" s="6"/>
      <c r="B26" s="125" t="s">
        <v>182</v>
      </c>
      <c r="C26" s="126"/>
      <c r="D26" s="28"/>
      <c r="E26" s="29"/>
      <c r="F26" s="28"/>
      <c r="G26" s="30"/>
      <c r="H26" s="31"/>
      <c r="I26" s="30"/>
      <c r="J26" s="31"/>
      <c r="K26" s="30"/>
      <c r="L26" s="31"/>
      <c r="M26" s="32"/>
      <c r="N26" s="31"/>
      <c r="O26" s="30"/>
      <c r="P26" s="31"/>
      <c r="Q26" s="30"/>
      <c r="R26" s="31"/>
      <c r="S26" s="30"/>
      <c r="T26" s="31"/>
      <c r="U26" s="32"/>
      <c r="V26" s="31"/>
      <c r="W26" s="33"/>
      <c r="X26" s="33"/>
      <c r="Y26" s="33"/>
      <c r="Z26" s="33"/>
      <c r="AA26" s="33"/>
      <c r="AB26" s="33"/>
      <c r="AC26" s="33"/>
      <c r="AD26" s="34"/>
      <c r="AE26" s="34"/>
      <c r="AF26" s="39"/>
      <c r="AG26" s="40"/>
      <c r="AH26" s="41"/>
      <c r="AI26" s="41"/>
      <c r="AJ26" s="41"/>
      <c r="AK26" s="41"/>
      <c r="AL26" s="41"/>
      <c r="AM26" s="41"/>
      <c r="AN26" s="41"/>
      <c r="AO26" s="41"/>
      <c r="AP26" s="41"/>
      <c r="AQ26" s="41"/>
      <c r="AR26" s="41"/>
      <c r="AS26" s="41"/>
      <c r="AT26" s="41"/>
      <c r="AU26" s="42"/>
      <c r="AV26" s="79"/>
      <c r="AW26" s="80"/>
      <c r="AX26" s="81"/>
      <c r="AY26" s="81"/>
      <c r="AZ26" s="79"/>
      <c r="BA26" s="79"/>
      <c r="BB26" s="79"/>
      <c r="BC26" s="83"/>
      <c r="BD26" s="54"/>
      <c r="BE26" s="54"/>
      <c r="BF26" s="54"/>
      <c r="BG26" s="54"/>
      <c r="BH26" s="54"/>
      <c r="BI26" s="57"/>
      <c r="BJ26" s="54"/>
      <c r="BK26" s="54">
        <v>500</v>
      </c>
      <c r="BL26" s="54"/>
      <c r="BM26" s="58">
        <f>BK26-BG26</f>
        <v>500</v>
      </c>
      <c r="BN26" s="58"/>
      <c r="BO26" s="66">
        <v>413.47</v>
      </c>
      <c r="BP26" s="66"/>
      <c r="BQ26" s="66">
        <v>463.24</v>
      </c>
      <c r="BR26" s="66"/>
      <c r="BS26" s="66">
        <f t="shared" si="1"/>
        <v>-36.759999999999991</v>
      </c>
      <c r="BT26" s="58"/>
      <c r="BU26" s="54">
        <v>7500</v>
      </c>
      <c r="BV26" s="58"/>
      <c r="BW26" s="58">
        <f t="shared" si="15"/>
        <v>7000</v>
      </c>
      <c r="BX26" s="58"/>
      <c r="BY26" s="90" t="s">
        <v>204</v>
      </c>
      <c r="BZ26" s="66">
        <v>211.17</v>
      </c>
      <c r="CA26" s="66"/>
      <c r="CB26" s="54">
        <v>7500</v>
      </c>
      <c r="CC26" s="54"/>
      <c r="CD26" s="54">
        <v>7500</v>
      </c>
      <c r="CE26" s="54"/>
      <c r="CF26" s="54">
        <v>7500</v>
      </c>
      <c r="CG26" s="60"/>
      <c r="CH26" s="61">
        <f t="shared" si="4"/>
        <v>0</v>
      </c>
      <c r="CI26" s="200"/>
      <c r="CJ26" s="295" t="s">
        <v>204</v>
      </c>
    </row>
    <row r="27" spans="1:88" ht="18.75" customHeight="1" x14ac:dyDescent="0.2">
      <c r="A27" s="4"/>
      <c r="B27" s="125"/>
      <c r="C27" s="287" t="s">
        <v>61</v>
      </c>
      <c r="D27" s="28"/>
      <c r="E27" s="29"/>
      <c r="F27" s="28"/>
      <c r="G27" s="30">
        <v>32.31</v>
      </c>
      <c r="H27" s="31"/>
      <c r="I27" s="30"/>
      <c r="J27" s="31"/>
      <c r="K27" s="30"/>
      <c r="L27" s="31"/>
      <c r="M27" s="32"/>
      <c r="N27" s="31"/>
      <c r="O27" s="30">
        <v>198.83</v>
      </c>
      <c r="P27" s="31"/>
      <c r="Q27" s="30"/>
      <c r="R27" s="31"/>
      <c r="S27" s="30"/>
      <c r="T27" s="31"/>
      <c r="U27" s="32"/>
      <c r="V27" s="31"/>
      <c r="W27" s="33">
        <v>0</v>
      </c>
      <c r="X27" s="33"/>
      <c r="Y27" s="33"/>
      <c r="Z27" s="33"/>
      <c r="AA27" s="33"/>
      <c r="AB27" s="33"/>
      <c r="AC27" s="33"/>
      <c r="AD27" s="34">
        <v>20000</v>
      </c>
      <c r="AE27" s="34"/>
      <c r="AF27" s="49">
        <v>19819.740000000002</v>
      </c>
      <c r="AG27" s="50"/>
      <c r="AH27" s="51">
        <v>20000</v>
      </c>
      <c r="AI27" s="51"/>
      <c r="AJ27" s="51">
        <v>15898.26</v>
      </c>
      <c r="AK27" s="51"/>
      <c r="AL27" s="51">
        <v>20000</v>
      </c>
      <c r="AM27" s="51"/>
      <c r="AN27" s="51">
        <v>21779.23</v>
      </c>
      <c r="AO27" s="51"/>
      <c r="AP27" s="51">
        <f>ROUND(G27+O27+W27,5)</f>
        <v>231.14</v>
      </c>
      <c r="AQ27" s="51"/>
      <c r="AR27" s="51"/>
      <c r="AS27" s="51">
        <f>AP27*2</f>
        <v>462.28</v>
      </c>
      <c r="AT27" s="51"/>
      <c r="AU27" s="127"/>
      <c r="AV27" s="54">
        <v>20000</v>
      </c>
      <c r="AW27" s="55"/>
      <c r="AX27" s="56">
        <f>AN27-AL27</f>
        <v>1779.2299999999996</v>
      </c>
      <c r="AY27" s="88"/>
      <c r="AZ27" s="89">
        <v>649.89</v>
      </c>
      <c r="BA27" s="54"/>
      <c r="BB27" s="114"/>
      <c r="BC27" s="60"/>
      <c r="BD27" s="54">
        <v>23169.46</v>
      </c>
      <c r="BE27" s="54"/>
      <c r="BF27" s="54"/>
      <c r="BG27" s="54">
        <v>20000</v>
      </c>
      <c r="BH27" s="54"/>
      <c r="BI27" s="57">
        <v>27805.33</v>
      </c>
      <c r="BJ27" s="54"/>
      <c r="BK27" s="54">
        <v>20000</v>
      </c>
      <c r="BL27" s="54"/>
      <c r="BM27" s="58">
        <f>BK27-BG27</f>
        <v>0</v>
      </c>
      <c r="BN27" s="58"/>
      <c r="BO27" s="66">
        <v>1616</v>
      </c>
      <c r="BP27" s="66"/>
      <c r="BQ27" s="66">
        <v>26763.7</v>
      </c>
      <c r="BR27" s="66"/>
      <c r="BS27" s="66">
        <f t="shared" si="1"/>
        <v>6763.7000000000007</v>
      </c>
      <c r="BT27" s="58"/>
      <c r="BU27" s="54">
        <v>20000</v>
      </c>
      <c r="BV27" s="58"/>
      <c r="BW27" s="58">
        <f t="shared" si="15"/>
        <v>0</v>
      </c>
      <c r="BX27" s="58"/>
      <c r="BY27" s="91" t="s">
        <v>252</v>
      </c>
      <c r="BZ27" s="66">
        <v>22424.09</v>
      </c>
      <c r="CA27" s="66"/>
      <c r="CB27" s="54">
        <v>27000</v>
      </c>
      <c r="CC27" s="54"/>
      <c r="CD27" s="54">
        <v>27000</v>
      </c>
      <c r="CE27" s="54"/>
      <c r="CF27" s="54">
        <v>27000</v>
      </c>
      <c r="CG27" s="60"/>
      <c r="CH27" s="61">
        <f t="shared" si="4"/>
        <v>0</v>
      </c>
      <c r="CI27" s="200"/>
      <c r="CJ27" s="295" t="s">
        <v>204</v>
      </c>
    </row>
    <row r="28" spans="1:88" ht="18" customHeight="1" thickBot="1" x14ac:dyDescent="0.25">
      <c r="A28" s="4"/>
      <c r="B28" s="125"/>
      <c r="C28" s="287" t="s">
        <v>155</v>
      </c>
      <c r="D28" s="64"/>
      <c r="E28" s="64"/>
      <c r="F28" s="63"/>
      <c r="G28" s="30"/>
      <c r="H28" s="31"/>
      <c r="I28" s="30"/>
      <c r="J28" s="31"/>
      <c r="K28" s="30"/>
      <c r="L28" s="31"/>
      <c r="M28" s="32"/>
      <c r="N28" s="31"/>
      <c r="O28" s="30"/>
      <c r="P28" s="31"/>
      <c r="Q28" s="30"/>
      <c r="R28" s="31"/>
      <c r="S28" s="30"/>
      <c r="T28" s="31"/>
      <c r="U28" s="32"/>
      <c r="V28" s="31"/>
      <c r="W28" s="33"/>
      <c r="X28" s="33"/>
      <c r="Y28" s="33"/>
      <c r="Z28" s="33"/>
      <c r="AA28" s="33"/>
      <c r="AB28" s="33"/>
      <c r="AC28" s="33"/>
      <c r="AD28" s="34"/>
      <c r="AE28" s="34"/>
      <c r="AF28" s="49"/>
      <c r="AG28" s="50"/>
      <c r="AH28" s="51"/>
      <c r="AI28" s="51"/>
      <c r="AJ28" s="51"/>
      <c r="AK28" s="51"/>
      <c r="AL28" s="73"/>
      <c r="AM28" s="73"/>
      <c r="AN28" s="73"/>
      <c r="AO28" s="73"/>
      <c r="AP28" s="73"/>
      <c r="AQ28" s="73"/>
      <c r="AR28" s="73"/>
      <c r="AS28" s="73"/>
      <c r="AT28" s="73"/>
      <c r="AU28" s="116"/>
      <c r="AV28" s="93">
        <v>3500</v>
      </c>
      <c r="AW28" s="94"/>
      <c r="AX28" s="95"/>
      <c r="AY28" s="96"/>
      <c r="AZ28" s="97">
        <v>0</v>
      </c>
      <c r="BA28" s="93"/>
      <c r="BB28" s="117"/>
      <c r="BC28" s="99"/>
      <c r="BD28" s="93">
        <v>1859.76</v>
      </c>
      <c r="BE28" s="93"/>
      <c r="BF28" s="93"/>
      <c r="BG28" s="93">
        <v>3500</v>
      </c>
      <c r="BH28" s="93"/>
      <c r="BI28" s="100">
        <f>173.22+3015</f>
        <v>3188.22</v>
      </c>
      <c r="BJ28" s="93"/>
      <c r="BK28" s="93">
        <v>500</v>
      </c>
      <c r="BL28" s="93"/>
      <c r="BM28" s="101">
        <f>BK28-BG28</f>
        <v>-3000</v>
      </c>
      <c r="BN28" s="101"/>
      <c r="BO28" s="102">
        <v>380.14</v>
      </c>
      <c r="BP28" s="102"/>
      <c r="BQ28" s="102">
        <v>1616</v>
      </c>
      <c r="BR28" s="102"/>
      <c r="BS28" s="102">
        <f t="shared" si="1"/>
        <v>1116</v>
      </c>
      <c r="BT28" s="101"/>
      <c r="BU28" s="93">
        <v>3500</v>
      </c>
      <c r="BV28" s="58"/>
      <c r="BW28" s="101">
        <f t="shared" si="15"/>
        <v>3000</v>
      </c>
      <c r="BX28" s="58"/>
      <c r="BY28" s="91" t="s">
        <v>253</v>
      </c>
      <c r="BZ28" s="102">
        <v>7716.59</v>
      </c>
      <c r="CA28" s="102"/>
      <c r="CB28" s="93">
        <v>3500</v>
      </c>
      <c r="CC28" s="93"/>
      <c r="CD28" s="93">
        <v>3500</v>
      </c>
      <c r="CE28" s="93"/>
      <c r="CF28" s="93">
        <v>3500</v>
      </c>
      <c r="CG28" s="99"/>
      <c r="CH28" s="103">
        <f t="shared" si="4"/>
        <v>0</v>
      </c>
      <c r="CI28" s="129"/>
      <c r="CJ28" s="304" t="s">
        <v>204</v>
      </c>
    </row>
    <row r="29" spans="1:88" ht="18.75" customHeight="1" x14ac:dyDescent="0.2">
      <c r="A29" s="4"/>
      <c r="B29" s="125" t="s">
        <v>183</v>
      </c>
      <c r="C29" s="126"/>
      <c r="D29" s="28"/>
      <c r="E29" s="29"/>
      <c r="F29" s="28"/>
      <c r="G29" s="30"/>
      <c r="H29" s="31"/>
      <c r="I29" s="30"/>
      <c r="J29" s="31"/>
      <c r="K29" s="30"/>
      <c r="L29" s="31"/>
      <c r="M29" s="32"/>
      <c r="N29" s="31"/>
      <c r="O29" s="30"/>
      <c r="P29" s="31"/>
      <c r="Q29" s="30"/>
      <c r="R29" s="31"/>
      <c r="S29" s="30"/>
      <c r="T29" s="31"/>
      <c r="U29" s="32"/>
      <c r="V29" s="31"/>
      <c r="W29" s="33"/>
      <c r="X29" s="33"/>
      <c r="Y29" s="33"/>
      <c r="Z29" s="33"/>
      <c r="AA29" s="33"/>
      <c r="AB29" s="33"/>
      <c r="AC29" s="33"/>
      <c r="AD29" s="34"/>
      <c r="AE29" s="34"/>
      <c r="AF29" s="49"/>
      <c r="AG29" s="50"/>
      <c r="AH29" s="51"/>
      <c r="AI29" s="51"/>
      <c r="AJ29" s="51"/>
      <c r="AK29" s="51"/>
      <c r="AL29" s="41">
        <f>AL26+AL27+AL28</f>
        <v>20000</v>
      </c>
      <c r="AM29" s="41"/>
      <c r="AN29" s="41">
        <f t="shared" ref="AN29:BL29" si="23">AN26+AN27+AN28</f>
        <v>21779.23</v>
      </c>
      <c r="AO29" s="41">
        <f t="shared" si="23"/>
        <v>0</v>
      </c>
      <c r="AP29" s="41">
        <f t="shared" si="23"/>
        <v>231.14</v>
      </c>
      <c r="AQ29" s="41">
        <f t="shared" si="23"/>
        <v>0</v>
      </c>
      <c r="AR29" s="41">
        <f t="shared" si="23"/>
        <v>0</v>
      </c>
      <c r="AS29" s="41">
        <f t="shared" si="23"/>
        <v>462.28</v>
      </c>
      <c r="AT29" s="41">
        <f t="shared" si="23"/>
        <v>0</v>
      </c>
      <c r="AU29" s="41">
        <f t="shared" si="23"/>
        <v>0</v>
      </c>
      <c r="AV29" s="79">
        <f t="shared" si="23"/>
        <v>23500</v>
      </c>
      <c r="AW29" s="79">
        <f t="shared" si="23"/>
        <v>0</v>
      </c>
      <c r="AX29" s="79">
        <f t="shared" si="23"/>
        <v>1779.2299999999996</v>
      </c>
      <c r="AY29" s="79">
        <f t="shared" si="23"/>
        <v>0</v>
      </c>
      <c r="AZ29" s="79">
        <f t="shared" si="23"/>
        <v>649.89</v>
      </c>
      <c r="BA29" s="79">
        <f t="shared" si="23"/>
        <v>0</v>
      </c>
      <c r="BB29" s="79">
        <f t="shared" si="23"/>
        <v>0</v>
      </c>
      <c r="BC29" s="83">
        <f t="shared" si="23"/>
        <v>0</v>
      </c>
      <c r="BD29" s="79">
        <f t="shared" si="23"/>
        <v>25029.219999999998</v>
      </c>
      <c r="BE29" s="79">
        <f t="shared" si="23"/>
        <v>0</v>
      </c>
      <c r="BF29" s="79">
        <f t="shared" si="23"/>
        <v>0</v>
      </c>
      <c r="BG29" s="79">
        <f t="shared" si="23"/>
        <v>23500</v>
      </c>
      <c r="BH29" s="79">
        <f t="shared" si="23"/>
        <v>0</v>
      </c>
      <c r="BI29" s="79">
        <f t="shared" si="23"/>
        <v>30993.550000000003</v>
      </c>
      <c r="BJ29" s="79">
        <f t="shared" si="23"/>
        <v>0</v>
      </c>
      <c r="BK29" s="79">
        <f t="shared" si="23"/>
        <v>21000</v>
      </c>
      <c r="BL29" s="79">
        <f t="shared" si="23"/>
        <v>0</v>
      </c>
      <c r="BM29" s="84">
        <f>BK29-BG29</f>
        <v>-2500</v>
      </c>
      <c r="BN29" s="84"/>
      <c r="BO29" s="85">
        <v>2409.61</v>
      </c>
      <c r="BP29" s="85"/>
      <c r="BQ29" s="85">
        <f t="shared" si="7"/>
        <v>4819.22</v>
      </c>
      <c r="BR29" s="85"/>
      <c r="BS29" s="85">
        <f t="shared" si="1"/>
        <v>-16180.779999999999</v>
      </c>
      <c r="BT29" s="84"/>
      <c r="BU29" s="79">
        <f>SUM(BU26:BU28)</f>
        <v>31000</v>
      </c>
      <c r="BV29" s="58"/>
      <c r="BW29" s="84">
        <f t="shared" si="15"/>
        <v>10000</v>
      </c>
      <c r="BX29" s="58"/>
      <c r="BY29" s="91"/>
      <c r="BZ29" s="79">
        <f>SUM(BZ26:BZ28)</f>
        <v>30351.85</v>
      </c>
      <c r="CA29" s="79"/>
      <c r="CB29" s="79">
        <f>SUM(CB26:CB28)</f>
        <v>38000</v>
      </c>
      <c r="CC29" s="79"/>
      <c r="CD29" s="79">
        <f>SUM(CD26:CD28)</f>
        <v>38000</v>
      </c>
      <c r="CE29" s="79"/>
      <c r="CF29" s="79">
        <f>SUM(CF26:CF28)</f>
        <v>38000</v>
      </c>
      <c r="CG29" s="83"/>
      <c r="CH29" s="112">
        <f t="shared" si="4"/>
        <v>0</v>
      </c>
      <c r="CI29" s="199"/>
      <c r="CJ29" s="299"/>
    </row>
    <row r="30" spans="1:88" ht="14.25" customHeight="1" x14ac:dyDescent="0.2">
      <c r="A30" s="4"/>
      <c r="B30" s="27"/>
      <c r="C30" s="28" t="s">
        <v>159</v>
      </c>
      <c r="D30" s="28"/>
      <c r="E30" s="29"/>
      <c r="F30" s="28"/>
      <c r="G30" s="30"/>
      <c r="H30" s="31"/>
      <c r="I30" s="30"/>
      <c r="J30" s="31"/>
      <c r="K30" s="30"/>
      <c r="L30" s="31"/>
      <c r="M30" s="32"/>
      <c r="N30" s="31"/>
      <c r="O30" s="30"/>
      <c r="P30" s="31"/>
      <c r="Q30" s="30"/>
      <c r="R30" s="31"/>
      <c r="S30" s="30"/>
      <c r="T30" s="31"/>
      <c r="U30" s="32"/>
      <c r="V30" s="31"/>
      <c r="W30" s="33"/>
      <c r="X30" s="33"/>
      <c r="Y30" s="33"/>
      <c r="Z30" s="33"/>
      <c r="AA30" s="33"/>
      <c r="AB30" s="33"/>
      <c r="AC30" s="33"/>
      <c r="AD30" s="34">
        <v>400</v>
      </c>
      <c r="AE30" s="34"/>
      <c r="AF30" s="49"/>
      <c r="AG30" s="50"/>
      <c r="AH30" s="51">
        <v>80000</v>
      </c>
      <c r="AI30" s="51"/>
      <c r="AJ30" s="51"/>
      <c r="AK30" s="51"/>
      <c r="AL30" s="51">
        <v>80000</v>
      </c>
      <c r="AM30" s="51"/>
      <c r="AN30" s="51">
        <v>11694.95</v>
      </c>
      <c r="AO30" s="51"/>
      <c r="AP30" s="54">
        <v>1006.64</v>
      </c>
      <c r="AQ30" s="51"/>
      <c r="AR30" s="51"/>
      <c r="AS30" s="51">
        <f t="shared" ref="AS30" si="24">AP30*2</f>
        <v>2013.28</v>
      </c>
      <c r="AT30" s="51"/>
      <c r="AU30" s="53"/>
      <c r="AV30" s="54">
        <v>87000</v>
      </c>
      <c r="AW30" s="128">
        <f>AN30-AV30</f>
        <v>-75305.05</v>
      </c>
      <c r="AX30" s="56"/>
      <c r="AY30" s="88"/>
      <c r="AZ30" s="89">
        <v>6476.45</v>
      </c>
      <c r="BA30" s="54"/>
      <c r="BB30" s="54"/>
      <c r="BC30" s="60"/>
      <c r="BD30" s="54">
        <v>50291.6</v>
      </c>
      <c r="BE30" s="54"/>
      <c r="BF30" s="54"/>
      <c r="BG30" s="54">
        <v>87000</v>
      </c>
      <c r="BH30" s="54"/>
      <c r="BI30" s="57">
        <v>103893.14</v>
      </c>
      <c r="BJ30" s="54"/>
      <c r="BK30" s="54">
        <v>65000</v>
      </c>
      <c r="BL30" s="54"/>
      <c r="BM30" s="58">
        <f t="shared" si="14"/>
        <v>-22000</v>
      </c>
      <c r="BN30" s="58"/>
      <c r="BO30" s="66">
        <v>63461.87</v>
      </c>
      <c r="BP30" s="66"/>
      <c r="BQ30" s="66">
        <v>65912.92</v>
      </c>
      <c r="BR30" s="66"/>
      <c r="BS30" s="66">
        <f t="shared" si="1"/>
        <v>912.91999999999825</v>
      </c>
      <c r="BT30" s="58"/>
      <c r="BU30" s="54">
        <v>77000</v>
      </c>
      <c r="BV30" s="58"/>
      <c r="BW30" s="58">
        <f t="shared" si="15"/>
        <v>12000</v>
      </c>
      <c r="BX30" s="58"/>
      <c r="BY30" s="91" t="s">
        <v>254</v>
      </c>
      <c r="BZ30" s="66">
        <v>76325.06</v>
      </c>
      <c r="CA30" s="66"/>
      <c r="CB30" s="54">
        <v>60000</v>
      </c>
      <c r="CC30" s="54"/>
      <c r="CD30" s="54">
        <v>60000</v>
      </c>
      <c r="CE30" s="54"/>
      <c r="CF30" s="54">
        <v>60000</v>
      </c>
      <c r="CG30" s="60"/>
      <c r="CH30" s="61">
        <f t="shared" si="4"/>
        <v>0</v>
      </c>
      <c r="CI30" s="200"/>
      <c r="CJ30" s="295" t="s">
        <v>204</v>
      </c>
    </row>
    <row r="31" spans="1:88" s="7" customFormat="1" ht="16.5" customHeight="1" thickBot="1" x14ac:dyDescent="0.25">
      <c r="A31" s="6"/>
      <c r="B31" s="124"/>
      <c r="C31" s="28" t="s">
        <v>157</v>
      </c>
      <c r="D31" s="28"/>
      <c r="E31" s="29"/>
      <c r="F31" s="28"/>
      <c r="G31" s="30"/>
      <c r="H31" s="31"/>
      <c r="I31" s="30"/>
      <c r="J31" s="31"/>
      <c r="K31" s="30"/>
      <c r="L31" s="31"/>
      <c r="M31" s="32"/>
      <c r="N31" s="31"/>
      <c r="O31" s="30"/>
      <c r="P31" s="31"/>
      <c r="Q31" s="30"/>
      <c r="R31" s="31"/>
      <c r="S31" s="30"/>
      <c r="T31" s="31"/>
      <c r="U31" s="32"/>
      <c r="V31" s="31"/>
      <c r="W31" s="33"/>
      <c r="X31" s="33"/>
      <c r="Y31" s="33"/>
      <c r="Z31" s="33"/>
      <c r="AA31" s="33"/>
      <c r="AB31" s="33"/>
      <c r="AC31" s="70"/>
      <c r="AD31" s="48"/>
      <c r="AE31" s="34"/>
      <c r="AF31" s="49"/>
      <c r="AG31" s="50"/>
      <c r="AH31" s="51"/>
      <c r="AI31" s="51"/>
      <c r="AJ31" s="51"/>
      <c r="AK31" s="51"/>
      <c r="AL31" s="51"/>
      <c r="AM31" s="51"/>
      <c r="AN31" s="51">
        <v>0</v>
      </c>
      <c r="AO31" s="51"/>
      <c r="AP31" s="51"/>
      <c r="AQ31" s="51"/>
      <c r="AR31" s="51"/>
      <c r="AS31" s="51"/>
      <c r="AT31" s="51"/>
      <c r="AU31" s="65"/>
      <c r="AV31" s="54">
        <v>50000</v>
      </c>
      <c r="AW31" s="55"/>
      <c r="AX31" s="56"/>
      <c r="AY31" s="56"/>
      <c r="AZ31" s="54">
        <v>0</v>
      </c>
      <c r="BA31" s="54"/>
      <c r="BB31" s="54"/>
      <c r="BC31" s="60"/>
      <c r="BD31" s="54">
        <v>4683.79</v>
      </c>
      <c r="BE31" s="54"/>
      <c r="BF31" s="54"/>
      <c r="BG31" s="54">
        <v>50000</v>
      </c>
      <c r="BH31" s="54"/>
      <c r="BI31" s="54">
        <v>57573.4</v>
      </c>
      <c r="BJ31" s="54"/>
      <c r="BK31" s="54">
        <v>50000</v>
      </c>
      <c r="BL31" s="54"/>
      <c r="BM31" s="58">
        <f t="shared" si="14"/>
        <v>0</v>
      </c>
      <c r="BN31" s="58"/>
      <c r="BO31" s="66">
        <v>64954.99</v>
      </c>
      <c r="BP31" s="66"/>
      <c r="BQ31" s="66">
        <v>69315.3</v>
      </c>
      <c r="BR31" s="66"/>
      <c r="BS31" s="66">
        <f t="shared" si="1"/>
        <v>19315.300000000003</v>
      </c>
      <c r="BT31" s="58"/>
      <c r="BU31" s="54">
        <v>50000</v>
      </c>
      <c r="BV31" s="58"/>
      <c r="BW31" s="58">
        <f t="shared" si="15"/>
        <v>0</v>
      </c>
      <c r="BX31" s="58"/>
      <c r="BY31" s="90" t="s">
        <v>206</v>
      </c>
      <c r="BZ31" s="66">
        <v>6328.75</v>
      </c>
      <c r="CA31" s="66"/>
      <c r="CB31" s="54">
        <v>50000</v>
      </c>
      <c r="CC31" s="54"/>
      <c r="CD31" s="54">
        <v>18693.46</v>
      </c>
      <c r="CE31" s="54"/>
      <c r="CF31" s="54">
        <v>50000</v>
      </c>
      <c r="CG31" s="60"/>
      <c r="CH31" s="61">
        <f t="shared" si="4"/>
        <v>0</v>
      </c>
      <c r="CI31" s="200"/>
      <c r="CJ31" s="295" t="s">
        <v>204</v>
      </c>
    </row>
    <row r="32" spans="1:88" ht="17.25" customHeight="1" thickBot="1" x14ac:dyDescent="0.25">
      <c r="A32" s="4"/>
      <c r="B32" s="289"/>
      <c r="C32" s="288" t="s">
        <v>189</v>
      </c>
      <c r="D32" s="288"/>
      <c r="E32" s="290"/>
      <c r="F32" s="288"/>
      <c r="G32" s="30"/>
      <c r="H32" s="31"/>
      <c r="I32" s="30"/>
      <c r="J32" s="31"/>
      <c r="K32" s="30"/>
      <c r="L32" s="31"/>
      <c r="M32" s="32"/>
      <c r="N32" s="31"/>
      <c r="O32" s="30"/>
      <c r="P32" s="31"/>
      <c r="Q32" s="30"/>
      <c r="R32" s="31"/>
      <c r="S32" s="30"/>
      <c r="T32" s="31"/>
      <c r="U32" s="32"/>
      <c r="V32" s="31"/>
      <c r="W32" s="33"/>
      <c r="X32" s="33"/>
      <c r="Y32" s="33"/>
      <c r="Z32" s="33"/>
      <c r="AA32" s="33"/>
      <c r="AB32" s="33"/>
      <c r="AC32" s="33"/>
      <c r="AD32" s="34"/>
      <c r="AE32" s="34"/>
      <c r="AF32" s="39"/>
      <c r="AG32" s="40"/>
      <c r="AH32" s="41"/>
      <c r="AI32" s="41"/>
      <c r="AJ32" s="41"/>
      <c r="AK32" s="41"/>
      <c r="AL32" s="73"/>
      <c r="AM32" s="73"/>
      <c r="AN32" s="73"/>
      <c r="AO32" s="73"/>
      <c r="AP32" s="74"/>
      <c r="AQ32" s="73"/>
      <c r="AR32" s="73"/>
      <c r="AS32" s="73"/>
      <c r="AT32" s="73"/>
      <c r="AU32" s="116"/>
      <c r="AV32" s="93"/>
      <c r="AW32" s="94"/>
      <c r="AX32" s="95"/>
      <c r="AY32" s="129"/>
      <c r="AZ32" s="130"/>
      <c r="BA32" s="93"/>
      <c r="BB32" s="131"/>
      <c r="BC32" s="99"/>
      <c r="BD32" s="93"/>
      <c r="BE32" s="93"/>
      <c r="BF32" s="93"/>
      <c r="BG32" s="93"/>
      <c r="BH32" s="93"/>
      <c r="BI32" s="100"/>
      <c r="BJ32" s="93"/>
      <c r="BK32" s="93">
        <v>5000</v>
      </c>
      <c r="BL32" s="101"/>
      <c r="BM32" s="101">
        <f t="shared" ref="BM32" si="25">BK32-BG32</f>
        <v>5000</v>
      </c>
      <c r="BN32" s="101"/>
      <c r="BO32" s="102">
        <v>0</v>
      </c>
      <c r="BP32" s="102"/>
      <c r="BQ32" s="102">
        <v>2168.1999999999998</v>
      </c>
      <c r="BR32" s="102"/>
      <c r="BS32" s="102">
        <f t="shared" si="1"/>
        <v>-2831.8</v>
      </c>
      <c r="BT32" s="101"/>
      <c r="BU32" s="93">
        <f>BM32-BI32</f>
        <v>5000</v>
      </c>
      <c r="BV32" s="58"/>
      <c r="BW32" s="101">
        <f t="shared" si="15"/>
        <v>0</v>
      </c>
      <c r="BX32" s="58"/>
      <c r="BY32" s="90" t="s">
        <v>204</v>
      </c>
      <c r="BZ32" s="102">
        <v>5309.47</v>
      </c>
      <c r="CA32" s="102"/>
      <c r="CB32" s="93">
        <v>5000</v>
      </c>
      <c r="CC32" s="93"/>
      <c r="CD32" s="93">
        <v>1344.3</v>
      </c>
      <c r="CE32" s="93"/>
      <c r="CF32" s="93">
        <v>5000</v>
      </c>
      <c r="CG32" s="99"/>
      <c r="CH32" s="103">
        <f t="shared" si="4"/>
        <v>0</v>
      </c>
      <c r="CI32" s="129"/>
      <c r="CJ32" s="304" t="s">
        <v>204</v>
      </c>
    </row>
    <row r="33" spans="1:88" ht="17.25" customHeight="1" thickBot="1" x14ac:dyDescent="0.25">
      <c r="A33" s="4"/>
      <c r="B33" s="289" t="s">
        <v>193</v>
      </c>
      <c r="C33" s="288"/>
      <c r="D33" s="288"/>
      <c r="E33" s="290"/>
      <c r="F33" s="288"/>
      <c r="G33" s="30"/>
      <c r="H33" s="31"/>
      <c r="I33" s="30"/>
      <c r="J33" s="31"/>
      <c r="K33" s="30"/>
      <c r="L33" s="31"/>
      <c r="M33" s="32"/>
      <c r="N33" s="31"/>
      <c r="O33" s="30"/>
      <c r="P33" s="31"/>
      <c r="Q33" s="30"/>
      <c r="R33" s="31"/>
      <c r="S33" s="30"/>
      <c r="T33" s="31"/>
      <c r="U33" s="32"/>
      <c r="V33" s="31"/>
      <c r="W33" s="33"/>
      <c r="X33" s="33"/>
      <c r="Y33" s="33"/>
      <c r="Z33" s="33"/>
      <c r="AA33" s="33"/>
      <c r="AB33" s="33"/>
      <c r="AC33" s="33"/>
      <c r="AD33" s="34"/>
      <c r="AE33" s="34"/>
      <c r="AF33" s="39"/>
      <c r="AG33" s="40"/>
      <c r="AH33" s="41"/>
      <c r="AI33" s="41"/>
      <c r="AJ33" s="41"/>
      <c r="AK33" s="41"/>
      <c r="AL33" s="41">
        <f>AL20+AL25+AL30+AL31+AL32+AL185+AL186+AL188+AL29</f>
        <v>250500</v>
      </c>
      <c r="AM33" s="41"/>
      <c r="AN33" s="41">
        <f>AN20+AN25+AN30+AN31+AN32+AN185+AN186+AN188+AN29</f>
        <v>205189.01</v>
      </c>
      <c r="AO33" s="41">
        <f t="shared" ref="AO33:AU33" si="26">AO20+AO25+AO30+AO31+AO32+AO185+AO186+AO188</f>
        <v>0</v>
      </c>
      <c r="AP33" s="41">
        <f t="shared" si="26"/>
        <v>83754.23</v>
      </c>
      <c r="AQ33" s="41">
        <f t="shared" si="26"/>
        <v>0</v>
      </c>
      <c r="AR33" s="41">
        <f t="shared" si="26"/>
        <v>36999.94</v>
      </c>
      <c r="AS33" s="41">
        <f t="shared" si="26"/>
        <v>167508.46</v>
      </c>
      <c r="AT33" s="41">
        <f t="shared" si="26"/>
        <v>0</v>
      </c>
      <c r="AU33" s="41">
        <f t="shared" si="26"/>
        <v>0</v>
      </c>
      <c r="AV33" s="79">
        <f>AV20+AV25+AV30+AV31+AV32+AV185+AV186+AV188+AV29</f>
        <v>327300</v>
      </c>
      <c r="AW33" s="79">
        <f t="shared" ref="AW33:BC33" si="27">AW20+AW25+AW30+AW31+AW32+AW185+AW186+AW188</f>
        <v>-75305.05</v>
      </c>
      <c r="AX33" s="79">
        <f t="shared" si="27"/>
        <v>21214.830000000005</v>
      </c>
      <c r="AY33" s="79">
        <f t="shared" si="27"/>
        <v>0</v>
      </c>
      <c r="AZ33" s="79">
        <f t="shared" si="27"/>
        <v>100376.62</v>
      </c>
      <c r="BA33" s="79">
        <f t="shared" si="27"/>
        <v>0</v>
      </c>
      <c r="BB33" s="79">
        <f t="shared" si="27"/>
        <v>0</v>
      </c>
      <c r="BC33" s="83">
        <f t="shared" si="27"/>
        <v>0</v>
      </c>
      <c r="BD33" s="79">
        <f>BD20+BD25+BD30+BD31+BD32+BD185+BD186+BD188+BD29</f>
        <v>283445.23</v>
      </c>
      <c r="BE33" s="79">
        <f>BE20+BE25+BE30+BE31+BE32+BE185+BE186+BE188</f>
        <v>0</v>
      </c>
      <c r="BF33" s="79">
        <f>BF20+BF25+BF30+BF31+BF32+BF185+BF186+BF188</f>
        <v>0</v>
      </c>
      <c r="BG33" s="104">
        <f>BG20+BG25+BG30+BG31+BG32+BG185+BG186+BG188+BG29</f>
        <v>331300</v>
      </c>
      <c r="BH33" s="104">
        <f>BH20+BH25+BH30+BH31+BH32+BH185+BH186+BH188</f>
        <v>0</v>
      </c>
      <c r="BI33" s="104">
        <f>BI20+BI25+BI30+BI31+BI32+BI185+BI186+BI188+BI29</f>
        <v>444779.33999999997</v>
      </c>
      <c r="BJ33" s="104">
        <f>BJ20+BJ25+BJ30+BJ31+BJ32+BJ185+BJ186+BJ188</f>
        <v>0</v>
      </c>
      <c r="BK33" s="104">
        <f>BK25+BK30+BK31+BK32+BK29</f>
        <v>283184.23</v>
      </c>
      <c r="BL33" s="104">
        <f>BL20+BL25+BL30+BL31+BL32+BL185+BL186+BL188</f>
        <v>0</v>
      </c>
      <c r="BM33" s="108">
        <f>BM188+BM186+BM185+BM32+BM31+BM30+BM29+BM25</f>
        <v>112384.23000000001</v>
      </c>
      <c r="BN33" s="108"/>
      <c r="BO33" s="109">
        <v>190500.72</v>
      </c>
      <c r="BP33" s="109"/>
      <c r="BQ33" s="109">
        <f t="shared" si="7"/>
        <v>381001.44</v>
      </c>
      <c r="BR33" s="109"/>
      <c r="BS33" s="109">
        <f t="shared" si="1"/>
        <v>97817.210000000021</v>
      </c>
      <c r="BT33" s="108"/>
      <c r="BU33" s="104">
        <f>BU32+BU31+BU30+BU29+BU25+BU20</f>
        <v>283000</v>
      </c>
      <c r="BV33" s="101"/>
      <c r="BW33" s="108">
        <f t="shared" si="15"/>
        <v>-184.22999999998137</v>
      </c>
      <c r="BX33" s="101"/>
      <c r="BY33" s="110"/>
      <c r="BZ33" s="104">
        <f>BZ32+BZ31+BZ30+BZ29+BZ25+BZ20</f>
        <v>254711.44</v>
      </c>
      <c r="CA33" s="104"/>
      <c r="CB33" s="104">
        <f>CB32+CB31+CB30+CB29+CB25+CB20</f>
        <v>303000</v>
      </c>
      <c r="CC33" s="104"/>
      <c r="CD33" s="104">
        <f>CD32+CD31+CD30+CD29+CD25+CD20</f>
        <v>262112.17999999996</v>
      </c>
      <c r="CE33" s="104"/>
      <c r="CF33" s="104">
        <f>CF32+CF31+CF30+CF29+CF25+CF20</f>
        <v>303000</v>
      </c>
      <c r="CG33" s="107"/>
      <c r="CH33" s="111">
        <f t="shared" si="4"/>
        <v>0</v>
      </c>
      <c r="CI33" s="96"/>
      <c r="CJ33" s="305"/>
    </row>
    <row r="34" spans="1:88" ht="12.75" customHeight="1" x14ac:dyDescent="0.2">
      <c r="A34" s="4"/>
      <c r="B34" s="347" t="s">
        <v>13</v>
      </c>
      <c r="C34" s="348"/>
      <c r="D34" s="348"/>
      <c r="E34" s="348"/>
      <c r="F34" s="348"/>
      <c r="G34" s="30"/>
      <c r="H34" s="31"/>
      <c r="I34" s="30"/>
      <c r="J34" s="31"/>
      <c r="K34" s="30"/>
      <c r="L34" s="31"/>
      <c r="M34" s="32"/>
      <c r="N34" s="31"/>
      <c r="O34" s="30"/>
      <c r="P34" s="31"/>
      <c r="Q34" s="30"/>
      <c r="R34" s="31"/>
      <c r="S34" s="30"/>
      <c r="T34" s="31"/>
      <c r="U34" s="32"/>
      <c r="V34" s="31"/>
      <c r="W34" s="33"/>
      <c r="X34" s="33"/>
      <c r="Y34" s="33"/>
      <c r="Z34" s="33"/>
      <c r="AA34" s="33"/>
      <c r="AB34" s="33"/>
      <c r="AC34" s="33"/>
      <c r="AD34" s="34"/>
      <c r="AE34" s="34"/>
      <c r="AF34" s="49"/>
      <c r="AG34" s="50"/>
      <c r="AH34" s="51"/>
      <c r="AI34" s="51"/>
      <c r="AJ34" s="51"/>
      <c r="AK34" s="51"/>
      <c r="AL34" s="51"/>
      <c r="AM34" s="51"/>
      <c r="AN34" s="51"/>
      <c r="AO34" s="51"/>
      <c r="AP34" s="51"/>
      <c r="AQ34" s="51"/>
      <c r="AR34" s="51"/>
      <c r="AS34" s="51"/>
      <c r="AT34" s="51"/>
      <c r="AU34" s="65"/>
      <c r="AV34" s="54"/>
      <c r="AW34" s="55"/>
      <c r="AX34" s="56">
        <f t="shared" ref="AX34:AX40" si="28">AN34-AL34</f>
        <v>0</v>
      </c>
      <c r="AY34" s="56"/>
      <c r="AZ34" s="54"/>
      <c r="BA34" s="54"/>
      <c r="BB34" s="82"/>
      <c r="BC34" s="60"/>
      <c r="BD34" s="54">
        <f t="shared" si="6"/>
        <v>0</v>
      </c>
      <c r="BE34" s="54"/>
      <c r="BF34" s="54"/>
      <c r="BG34" s="79"/>
      <c r="BH34" s="79"/>
      <c r="BI34" s="79"/>
      <c r="BJ34" s="79"/>
      <c r="BK34" s="79"/>
      <c r="BL34" s="79"/>
      <c r="BM34" s="84"/>
      <c r="BN34" s="84"/>
      <c r="BO34" s="79"/>
      <c r="BP34" s="79"/>
      <c r="BQ34" s="85"/>
      <c r="BR34" s="85"/>
      <c r="BS34" s="85"/>
      <c r="BT34" s="84"/>
      <c r="BU34" s="79"/>
      <c r="BV34" s="84"/>
      <c r="BW34" s="84">
        <f t="shared" si="15"/>
        <v>0</v>
      </c>
      <c r="BX34" s="84"/>
      <c r="BY34" s="86"/>
      <c r="BZ34" s="85"/>
      <c r="CA34" s="85"/>
      <c r="CB34" s="79"/>
      <c r="CC34" s="79"/>
      <c r="CD34" s="79"/>
      <c r="CE34" s="79"/>
      <c r="CF34" s="79"/>
      <c r="CG34" s="83"/>
      <c r="CH34" s="112"/>
      <c r="CI34" s="199"/>
      <c r="CJ34" s="299"/>
    </row>
    <row r="35" spans="1:88" ht="15.75" customHeight="1" x14ac:dyDescent="0.2">
      <c r="A35" s="4"/>
      <c r="B35" s="27"/>
      <c r="C35" s="348" t="s">
        <v>14</v>
      </c>
      <c r="D35" s="348"/>
      <c r="E35" s="348"/>
      <c r="F35" s="348"/>
      <c r="G35" s="30">
        <v>4965.75</v>
      </c>
      <c r="H35" s="31"/>
      <c r="I35" s="30">
        <v>2500</v>
      </c>
      <c r="J35" s="31"/>
      <c r="K35" s="30">
        <f>ROUND((G35-I35),5)</f>
        <v>2465.75</v>
      </c>
      <c r="L35" s="31"/>
      <c r="M35" s="32">
        <f>ROUND(IF(I35=0, IF(G35=0, 0, 1), G35/I35),5)</f>
        <v>1.9863</v>
      </c>
      <c r="N35" s="31"/>
      <c r="O35" s="30">
        <v>0</v>
      </c>
      <c r="P35" s="31"/>
      <c r="Q35" s="30">
        <v>2500</v>
      </c>
      <c r="R35" s="31"/>
      <c r="S35" s="30">
        <f>ROUND((O35-Q35),5)</f>
        <v>-2500</v>
      </c>
      <c r="T35" s="31"/>
      <c r="U35" s="32">
        <f>ROUND(IF(Q35=0, IF(O35=0, 0, 1), O35/Q35),5)</f>
        <v>0</v>
      </c>
      <c r="V35" s="31"/>
      <c r="W35" s="33">
        <v>0</v>
      </c>
      <c r="X35" s="33"/>
      <c r="Y35" s="33">
        <v>2500</v>
      </c>
      <c r="Z35" s="33"/>
      <c r="AA35" s="33">
        <f>ROUND((W35-Y35),5)</f>
        <v>-2500</v>
      </c>
      <c r="AB35" s="33"/>
      <c r="AC35" s="33"/>
      <c r="AD35" s="34">
        <v>30000</v>
      </c>
      <c r="AE35" s="34"/>
      <c r="AF35" s="49">
        <v>30306.2</v>
      </c>
      <c r="AG35" s="50"/>
      <c r="AH35" s="51">
        <v>30000</v>
      </c>
      <c r="AI35" s="51"/>
      <c r="AJ35" s="51">
        <v>15263.24</v>
      </c>
      <c r="AK35" s="51"/>
      <c r="AL35" s="51">
        <v>30000</v>
      </c>
      <c r="AM35" s="51"/>
      <c r="AN35" s="51">
        <v>18560</v>
      </c>
      <c r="AO35" s="51"/>
      <c r="AP35" s="51">
        <v>13709.75</v>
      </c>
      <c r="AQ35" s="51"/>
      <c r="AR35" s="51">
        <f>ROUND(I35+Q35+Y35,5)</f>
        <v>7500</v>
      </c>
      <c r="AS35" s="51">
        <f t="shared" ref="AS35:AS88" si="29">AP35*2</f>
        <v>27419.5</v>
      </c>
      <c r="AT35" s="51"/>
      <c r="AU35" s="65"/>
      <c r="AV35" s="54">
        <v>30000</v>
      </c>
      <c r="AW35" s="55"/>
      <c r="AX35" s="56">
        <f t="shared" si="28"/>
        <v>-11440</v>
      </c>
      <c r="AY35" s="88"/>
      <c r="AZ35" s="89">
        <v>11077.5</v>
      </c>
      <c r="BA35" s="54"/>
      <c r="BB35" s="82"/>
      <c r="BC35" s="60"/>
      <c r="BD35" s="54">
        <v>17071.25</v>
      </c>
      <c r="BE35" s="54"/>
      <c r="BF35" s="54"/>
      <c r="BG35" s="54">
        <v>30000</v>
      </c>
      <c r="BH35" s="54"/>
      <c r="BI35" s="57">
        <v>13387.5</v>
      </c>
      <c r="BJ35" s="54"/>
      <c r="BK35" s="54">
        <v>10000</v>
      </c>
      <c r="BL35" s="54"/>
      <c r="BM35" s="58">
        <f t="shared" ref="BM35:BM42" si="30">BK35-BG35</f>
        <v>-20000</v>
      </c>
      <c r="BN35" s="58"/>
      <c r="BO35" s="66">
        <v>3237.5</v>
      </c>
      <c r="BP35" s="66"/>
      <c r="BQ35" s="66">
        <v>7140</v>
      </c>
      <c r="BR35" s="66"/>
      <c r="BS35" s="66">
        <f t="shared" si="1"/>
        <v>-2860</v>
      </c>
      <c r="BT35" s="58"/>
      <c r="BU35" s="54">
        <v>10000</v>
      </c>
      <c r="BV35" s="58"/>
      <c r="BW35" s="58">
        <f t="shared" si="15"/>
        <v>0</v>
      </c>
      <c r="BX35" s="58"/>
      <c r="BY35" s="91" t="s">
        <v>255</v>
      </c>
      <c r="BZ35" s="66">
        <v>10465</v>
      </c>
      <c r="CA35" s="66"/>
      <c r="CB35" s="54">
        <v>10000</v>
      </c>
      <c r="CC35" s="54"/>
      <c r="CD35" s="54">
        <v>12635</v>
      </c>
      <c r="CE35" s="54"/>
      <c r="CF35" s="54">
        <v>10000</v>
      </c>
      <c r="CG35" s="60"/>
      <c r="CH35" s="61">
        <f t="shared" si="4"/>
        <v>0</v>
      </c>
      <c r="CI35" s="200"/>
      <c r="CJ35" s="295" t="s">
        <v>204</v>
      </c>
    </row>
    <row r="36" spans="1:88" ht="15.75" customHeight="1" x14ac:dyDescent="0.2">
      <c r="A36" s="4"/>
      <c r="B36" s="27"/>
      <c r="C36" s="348" t="s">
        <v>15</v>
      </c>
      <c r="D36" s="348"/>
      <c r="E36" s="348"/>
      <c r="F36" s="348"/>
      <c r="G36" s="30">
        <v>0</v>
      </c>
      <c r="H36" s="31"/>
      <c r="I36" s="30">
        <v>0</v>
      </c>
      <c r="J36" s="31"/>
      <c r="K36" s="30">
        <f>ROUND((G36-I36),5)</f>
        <v>0</v>
      </c>
      <c r="L36" s="31"/>
      <c r="M36" s="32">
        <f>ROUND(IF(I36=0, IF(G36=0, 0, 1), G36/I36),5)</f>
        <v>0</v>
      </c>
      <c r="N36" s="31"/>
      <c r="O36" s="30">
        <v>2715</v>
      </c>
      <c r="P36" s="31"/>
      <c r="Q36" s="30">
        <v>0</v>
      </c>
      <c r="R36" s="31"/>
      <c r="S36" s="30">
        <f>ROUND((O36-Q36),5)</f>
        <v>2715</v>
      </c>
      <c r="T36" s="31"/>
      <c r="U36" s="32">
        <f>ROUND(IF(Q36=0, IF(O36=0, 0, 1), O36/Q36),5)</f>
        <v>1</v>
      </c>
      <c r="V36" s="31"/>
      <c r="W36" s="33">
        <v>9900</v>
      </c>
      <c r="X36" s="33"/>
      <c r="Y36" s="33">
        <v>5250</v>
      </c>
      <c r="Z36" s="33"/>
      <c r="AA36" s="33">
        <f>ROUND((W36-Y36),5)</f>
        <v>4650</v>
      </c>
      <c r="AB36" s="33"/>
      <c r="AC36" s="33"/>
      <c r="AD36" s="34">
        <v>35292</v>
      </c>
      <c r="AE36" s="34"/>
      <c r="AF36" s="49">
        <v>35292</v>
      </c>
      <c r="AG36" s="50"/>
      <c r="AH36" s="51">
        <v>19000</v>
      </c>
      <c r="AI36" s="51"/>
      <c r="AJ36" s="51">
        <v>32514</v>
      </c>
      <c r="AK36" s="51"/>
      <c r="AL36" s="51">
        <v>21000</v>
      </c>
      <c r="AM36" s="51"/>
      <c r="AN36" s="51">
        <v>15658.21</v>
      </c>
      <c r="AO36" s="51"/>
      <c r="AP36" s="51">
        <f>ROUND(G36+O36+W36,5)</f>
        <v>12615</v>
      </c>
      <c r="AQ36" s="51"/>
      <c r="AR36" s="51">
        <f>ROUND(I36+Q36+Y36,5)</f>
        <v>5250</v>
      </c>
      <c r="AS36" s="51">
        <f t="shared" si="29"/>
        <v>25230</v>
      </c>
      <c r="AT36" s="51"/>
      <c r="AU36" s="65"/>
      <c r="AV36" s="54">
        <v>22000</v>
      </c>
      <c r="AW36" s="55"/>
      <c r="AX36" s="56">
        <f t="shared" si="28"/>
        <v>-5341.7900000000009</v>
      </c>
      <c r="AY36" s="88"/>
      <c r="AZ36" s="89">
        <v>7625</v>
      </c>
      <c r="BA36" s="54"/>
      <c r="BB36" s="82"/>
      <c r="BC36" s="60"/>
      <c r="BD36" s="54">
        <v>14918</v>
      </c>
      <c r="BE36" s="54"/>
      <c r="BF36" s="54"/>
      <c r="BG36" s="54">
        <v>13000</v>
      </c>
      <c r="BH36" s="54"/>
      <c r="BI36" s="57">
        <v>12610</v>
      </c>
      <c r="BJ36" s="54"/>
      <c r="BK36" s="54">
        <v>11000</v>
      </c>
      <c r="BL36" s="54"/>
      <c r="BM36" s="58">
        <f t="shared" si="30"/>
        <v>-2000</v>
      </c>
      <c r="BN36" s="58"/>
      <c r="BO36" s="66">
        <v>21000</v>
      </c>
      <c r="BP36" s="66"/>
      <c r="BQ36" s="66">
        <v>21000</v>
      </c>
      <c r="BR36" s="66"/>
      <c r="BS36" s="66">
        <f t="shared" si="1"/>
        <v>10000</v>
      </c>
      <c r="BT36" s="58"/>
      <c r="BU36" s="54">
        <v>13750</v>
      </c>
      <c r="BV36" s="58"/>
      <c r="BW36" s="58">
        <f t="shared" si="15"/>
        <v>2750</v>
      </c>
      <c r="BX36" s="58"/>
      <c r="BY36" s="91" t="s">
        <v>256</v>
      </c>
      <c r="BZ36" s="66">
        <v>12550</v>
      </c>
      <c r="CA36" s="66"/>
      <c r="CB36" s="54">
        <v>15750</v>
      </c>
      <c r="CC36" s="54"/>
      <c r="CD36" s="54">
        <v>15750</v>
      </c>
      <c r="CE36" s="54"/>
      <c r="CF36" s="54">
        <v>16750</v>
      </c>
      <c r="CG36" s="60"/>
      <c r="CH36" s="61">
        <f t="shared" si="4"/>
        <v>1000</v>
      </c>
      <c r="CI36" s="200"/>
      <c r="CJ36" s="306" t="s">
        <v>257</v>
      </c>
    </row>
    <row r="37" spans="1:88" ht="17.25" hidden="1" customHeight="1" thickBot="1" x14ac:dyDescent="0.25">
      <c r="A37" s="4"/>
      <c r="B37" s="27"/>
      <c r="C37" s="28" t="s">
        <v>16</v>
      </c>
      <c r="D37" s="28"/>
      <c r="E37" s="29"/>
      <c r="F37" s="28"/>
      <c r="G37" s="30"/>
      <c r="H37" s="31"/>
      <c r="I37" s="30"/>
      <c r="J37" s="31"/>
      <c r="K37" s="30"/>
      <c r="L37" s="31"/>
      <c r="M37" s="32"/>
      <c r="N37" s="31"/>
      <c r="O37" s="30"/>
      <c r="P37" s="31"/>
      <c r="Q37" s="30"/>
      <c r="R37" s="31"/>
      <c r="S37" s="30"/>
      <c r="T37" s="31"/>
      <c r="U37" s="32"/>
      <c r="V37" s="31"/>
      <c r="W37" s="33"/>
      <c r="X37" s="33"/>
      <c r="Y37" s="33"/>
      <c r="Z37" s="33"/>
      <c r="AA37" s="33"/>
      <c r="AB37" s="33"/>
      <c r="AC37" s="70"/>
      <c r="AD37" s="48"/>
      <c r="AE37" s="48"/>
      <c r="AF37" s="49"/>
      <c r="AG37" s="50"/>
      <c r="AH37" s="51"/>
      <c r="AI37" s="51"/>
      <c r="AJ37" s="51"/>
      <c r="AK37" s="51"/>
      <c r="AL37" s="51"/>
      <c r="AM37" s="51"/>
      <c r="AN37" s="51"/>
      <c r="AO37" s="51"/>
      <c r="AP37" s="51"/>
      <c r="AQ37" s="51"/>
      <c r="AR37" s="51"/>
      <c r="AS37" s="51">
        <f t="shared" si="29"/>
        <v>0</v>
      </c>
      <c r="AT37" s="51"/>
      <c r="AU37" s="65"/>
      <c r="AV37" s="54"/>
      <c r="AW37" s="55"/>
      <c r="AX37" s="56">
        <f t="shared" si="28"/>
        <v>0</v>
      </c>
      <c r="AY37" s="88"/>
      <c r="AZ37" s="89"/>
      <c r="BA37" s="54"/>
      <c r="BB37" s="82"/>
      <c r="BC37" s="60"/>
      <c r="BD37" s="54">
        <f t="shared" si="6"/>
        <v>0</v>
      </c>
      <c r="BE37" s="54"/>
      <c r="BF37" s="54"/>
      <c r="BG37" s="54"/>
      <c r="BH37" s="54"/>
      <c r="BI37" s="57"/>
      <c r="BJ37" s="54"/>
      <c r="BK37" s="54"/>
      <c r="BL37" s="54"/>
      <c r="BM37" s="58">
        <f t="shared" si="30"/>
        <v>0</v>
      </c>
      <c r="BN37" s="58"/>
      <c r="BO37" s="66"/>
      <c r="BP37" s="66"/>
      <c r="BQ37" s="66">
        <f t="shared" si="7"/>
        <v>0</v>
      </c>
      <c r="BR37" s="66"/>
      <c r="BS37" s="66">
        <f t="shared" si="1"/>
        <v>0</v>
      </c>
      <c r="BT37" s="58"/>
      <c r="BU37" s="54">
        <f>BM37-BI37</f>
        <v>0</v>
      </c>
      <c r="BV37" s="58"/>
      <c r="BW37" s="58">
        <f t="shared" si="15"/>
        <v>0</v>
      </c>
      <c r="BX37" s="58"/>
      <c r="BY37" s="91"/>
      <c r="BZ37" s="66">
        <f>BX37*2</f>
        <v>0</v>
      </c>
      <c r="CA37" s="66"/>
      <c r="CB37" s="54">
        <f>BS37-BO37</f>
        <v>0</v>
      </c>
      <c r="CC37" s="54"/>
      <c r="CD37" s="54">
        <f>BT37-BP37</f>
        <v>0</v>
      </c>
      <c r="CE37" s="54"/>
      <c r="CF37" s="54">
        <f>BU37-BQ37</f>
        <v>0</v>
      </c>
      <c r="CG37" s="60"/>
      <c r="CH37" s="61">
        <f t="shared" si="4"/>
        <v>0</v>
      </c>
      <c r="CI37" s="200"/>
      <c r="CJ37" s="294"/>
    </row>
    <row r="38" spans="1:88" ht="17.25" hidden="1" customHeight="1" thickBot="1" x14ac:dyDescent="0.25">
      <c r="A38" s="4"/>
      <c r="B38" s="27"/>
      <c r="C38" s="28"/>
      <c r="D38" s="28" t="s">
        <v>17</v>
      </c>
      <c r="E38" s="29"/>
      <c r="F38" s="28"/>
      <c r="G38" s="68">
        <v>0</v>
      </c>
      <c r="H38" s="31"/>
      <c r="I38" s="68"/>
      <c r="J38" s="31"/>
      <c r="K38" s="68"/>
      <c r="L38" s="31"/>
      <c r="M38" s="69"/>
      <c r="N38" s="31"/>
      <c r="O38" s="68">
        <v>0</v>
      </c>
      <c r="P38" s="31"/>
      <c r="Q38" s="68"/>
      <c r="R38" s="31"/>
      <c r="S38" s="68"/>
      <c r="T38" s="31"/>
      <c r="U38" s="69"/>
      <c r="V38" s="31"/>
      <c r="W38" s="70">
        <v>491</v>
      </c>
      <c r="X38" s="33"/>
      <c r="Y38" s="70"/>
      <c r="Z38" s="33"/>
      <c r="AA38" s="70"/>
      <c r="AB38" s="33"/>
      <c r="AC38" s="70"/>
      <c r="AD38" s="48"/>
      <c r="AE38" s="48"/>
      <c r="AF38" s="49"/>
      <c r="AG38" s="50"/>
      <c r="AH38" s="51"/>
      <c r="AI38" s="51"/>
      <c r="AJ38" s="51"/>
      <c r="AK38" s="51"/>
      <c r="AL38" s="51"/>
      <c r="AM38" s="51"/>
      <c r="AN38" s="51">
        <v>85908</v>
      </c>
      <c r="AO38" s="51"/>
      <c r="AP38" s="51">
        <f>ROUND(G38+O38+W38,5)</f>
        <v>491</v>
      </c>
      <c r="AQ38" s="51"/>
      <c r="AR38" s="51"/>
      <c r="AS38" s="51">
        <f t="shared" si="29"/>
        <v>982</v>
      </c>
      <c r="AT38" s="51"/>
      <c r="AU38" s="65"/>
      <c r="AV38" s="54"/>
      <c r="AW38" s="55"/>
      <c r="AX38" s="56">
        <f t="shared" si="28"/>
        <v>85908</v>
      </c>
      <c r="AY38" s="88"/>
      <c r="AZ38" s="89">
        <v>1055</v>
      </c>
      <c r="BA38" s="54"/>
      <c r="BB38" s="82"/>
      <c r="BC38" s="60"/>
      <c r="BD38" s="54">
        <f t="shared" si="6"/>
        <v>2110</v>
      </c>
      <c r="BE38" s="54"/>
      <c r="BF38" s="54"/>
      <c r="BG38" s="54"/>
      <c r="BH38" s="54"/>
      <c r="BI38" s="57"/>
      <c r="BJ38" s="54"/>
      <c r="BK38" s="54"/>
      <c r="BL38" s="54"/>
      <c r="BM38" s="58">
        <f t="shared" si="30"/>
        <v>0</v>
      </c>
      <c r="BN38" s="58"/>
      <c r="BO38" s="66">
        <v>1341</v>
      </c>
      <c r="BP38" s="66"/>
      <c r="BQ38" s="66">
        <f t="shared" si="7"/>
        <v>2682</v>
      </c>
      <c r="BR38" s="66"/>
      <c r="BS38" s="66">
        <f t="shared" si="1"/>
        <v>2682</v>
      </c>
      <c r="BT38" s="58"/>
      <c r="BU38" s="54">
        <f>BM38-BI38</f>
        <v>0</v>
      </c>
      <c r="BV38" s="58"/>
      <c r="BW38" s="58">
        <f t="shared" si="15"/>
        <v>0</v>
      </c>
      <c r="BX38" s="58"/>
      <c r="BY38" s="91"/>
      <c r="BZ38" s="66">
        <f>BX38*2</f>
        <v>0</v>
      </c>
      <c r="CA38" s="66"/>
      <c r="CB38" s="54">
        <f>BS38-BO38</f>
        <v>1341</v>
      </c>
      <c r="CC38" s="54"/>
      <c r="CD38" s="54">
        <f>BT38-BP38</f>
        <v>0</v>
      </c>
      <c r="CE38" s="54"/>
      <c r="CF38" s="54">
        <f>BU38-BQ38</f>
        <v>-2682</v>
      </c>
      <c r="CG38" s="60"/>
      <c r="CH38" s="61">
        <f t="shared" si="4"/>
        <v>-4023</v>
      </c>
      <c r="CI38" s="200"/>
      <c r="CJ38" s="294"/>
    </row>
    <row r="39" spans="1:88" ht="14.25" customHeight="1" x14ac:dyDescent="0.2">
      <c r="A39" s="4"/>
      <c r="B39" s="27"/>
      <c r="C39" s="28" t="s">
        <v>16</v>
      </c>
      <c r="D39" s="28"/>
      <c r="E39" s="29"/>
      <c r="F39" s="28"/>
      <c r="G39" s="30">
        <f>ROUND(SUM(G37:G38),5)</f>
        <v>0</v>
      </c>
      <c r="H39" s="31"/>
      <c r="I39" s="30">
        <f>ROUND(SUM(I37:I38),5)</f>
        <v>0</v>
      </c>
      <c r="J39" s="31"/>
      <c r="K39" s="30">
        <f>ROUND((G39-I39),5)</f>
        <v>0</v>
      </c>
      <c r="L39" s="31"/>
      <c r="M39" s="32">
        <f>ROUND(IF(I39=0, IF(G39=0, 0, 1), G39/I39),5)</f>
        <v>0</v>
      </c>
      <c r="N39" s="31"/>
      <c r="O39" s="30">
        <f>ROUND(SUM(O37:O38),5)</f>
        <v>0</v>
      </c>
      <c r="P39" s="31"/>
      <c r="Q39" s="30">
        <f>ROUND(SUM(Q37:Q38),5)</f>
        <v>0</v>
      </c>
      <c r="R39" s="31"/>
      <c r="S39" s="30">
        <f>ROUND((O39-Q39),5)</f>
        <v>0</v>
      </c>
      <c r="T39" s="31"/>
      <c r="U39" s="32">
        <f>ROUND(IF(Q39=0, IF(O39=0, 0, 1), O39/Q39),5)</f>
        <v>0</v>
      </c>
      <c r="V39" s="31"/>
      <c r="W39" s="33">
        <f>SUM(W37:W38)</f>
        <v>491</v>
      </c>
      <c r="X39" s="33"/>
      <c r="Y39" s="33">
        <f>ROUND(SUM(Y37:Y38),5)</f>
        <v>0</v>
      </c>
      <c r="Z39" s="33"/>
      <c r="AA39" s="33">
        <f>ROUND((W39-Y39),5)</f>
        <v>491</v>
      </c>
      <c r="AB39" s="33"/>
      <c r="AC39" s="33"/>
      <c r="AD39" s="34">
        <v>187245.86</v>
      </c>
      <c r="AE39" s="34"/>
      <c r="AF39" s="49">
        <v>187245.86</v>
      </c>
      <c r="AG39" s="50"/>
      <c r="AH39" s="51">
        <v>185000</v>
      </c>
      <c r="AI39" s="51"/>
      <c r="AJ39" s="51">
        <v>219028</v>
      </c>
      <c r="AK39" s="51"/>
      <c r="AL39" s="51">
        <v>200000</v>
      </c>
      <c r="AM39" s="51"/>
      <c r="AN39" s="51">
        <v>211096</v>
      </c>
      <c r="AO39" s="51"/>
      <c r="AP39" s="51">
        <f>ROUND(G39+O39+W39,5)</f>
        <v>491</v>
      </c>
      <c r="AQ39" s="51"/>
      <c r="AR39" s="51">
        <f>ROUND(I39+Q39+Y39,5)</f>
        <v>0</v>
      </c>
      <c r="AS39" s="51">
        <f t="shared" si="29"/>
        <v>982</v>
      </c>
      <c r="AT39" s="51"/>
      <c r="AU39" s="65"/>
      <c r="AV39" s="54">
        <v>185000</v>
      </c>
      <c r="AW39" s="55"/>
      <c r="AX39" s="56">
        <f t="shared" si="28"/>
        <v>11096</v>
      </c>
      <c r="AY39" s="88"/>
      <c r="AZ39" s="89">
        <v>-12830</v>
      </c>
      <c r="BA39" s="60"/>
      <c r="BB39" s="82"/>
      <c r="BC39" s="132"/>
      <c r="BD39" s="54">
        <f>223562-14000</f>
        <v>209562</v>
      </c>
      <c r="BE39" s="54"/>
      <c r="BF39" s="54"/>
      <c r="BG39" s="54">
        <f>(185000*1.04)-14000</f>
        <v>178400</v>
      </c>
      <c r="BH39" s="54"/>
      <c r="BI39" s="57">
        <v>230034</v>
      </c>
      <c r="BJ39" s="54"/>
      <c r="BK39" s="54">
        <v>215000</v>
      </c>
      <c r="BL39" s="54"/>
      <c r="BM39" s="58">
        <f t="shared" si="30"/>
        <v>36600</v>
      </c>
      <c r="BN39" s="58"/>
      <c r="BO39" s="66">
        <v>1341</v>
      </c>
      <c r="BP39" s="66"/>
      <c r="BQ39" s="66">
        <v>249773</v>
      </c>
      <c r="BR39" s="66"/>
      <c r="BS39" s="66">
        <f t="shared" si="1"/>
        <v>34773</v>
      </c>
      <c r="BT39" s="58"/>
      <c r="BU39" s="54">
        <v>200000</v>
      </c>
      <c r="BV39" s="58"/>
      <c r="BW39" s="58">
        <f t="shared" si="15"/>
        <v>-15000</v>
      </c>
      <c r="BX39" s="58"/>
      <c r="BY39" s="91" t="s">
        <v>258</v>
      </c>
      <c r="BZ39" s="66">
        <v>256487</v>
      </c>
      <c r="CA39" s="66"/>
      <c r="CB39" s="54">
        <f>200000*1.1</f>
        <v>220000.00000000003</v>
      </c>
      <c r="CC39" s="54"/>
      <c r="CD39" s="54">
        <f>200000*1.1</f>
        <v>220000.00000000003</v>
      </c>
      <c r="CE39" s="54"/>
      <c r="CF39" s="54">
        <f>220000*1.1</f>
        <v>242000.00000000003</v>
      </c>
      <c r="CG39" s="60"/>
      <c r="CH39" s="61">
        <f t="shared" si="4"/>
        <v>22000</v>
      </c>
      <c r="CI39" s="200"/>
      <c r="CJ39" s="306" t="s">
        <v>259</v>
      </c>
    </row>
    <row r="40" spans="1:88" ht="18" customHeight="1" thickBot="1" x14ac:dyDescent="0.25">
      <c r="A40" s="4"/>
      <c r="B40" s="27"/>
      <c r="C40" s="28" t="s">
        <v>18</v>
      </c>
      <c r="D40" s="28"/>
      <c r="E40" s="29"/>
      <c r="F40" s="28"/>
      <c r="G40" s="30">
        <v>52.08</v>
      </c>
      <c r="H40" s="31"/>
      <c r="I40" s="30">
        <v>5000</v>
      </c>
      <c r="J40" s="31"/>
      <c r="K40" s="30">
        <f>ROUND((G40-I40),5)</f>
        <v>-4947.92</v>
      </c>
      <c r="L40" s="31"/>
      <c r="M40" s="32">
        <f>ROUND(IF(I40=0, IF(G40=0, 0, 1), G40/I40),5)</f>
        <v>1.042E-2</v>
      </c>
      <c r="N40" s="31"/>
      <c r="O40" s="30">
        <v>0</v>
      </c>
      <c r="P40" s="31"/>
      <c r="Q40" s="30">
        <v>5000</v>
      </c>
      <c r="R40" s="31"/>
      <c r="S40" s="30">
        <f>ROUND((O40-Q40),5)</f>
        <v>-5000</v>
      </c>
      <c r="T40" s="31"/>
      <c r="U40" s="32">
        <f>ROUND(IF(Q40=0, IF(O40=0, 0, 1), O40/Q40),5)</f>
        <v>0</v>
      </c>
      <c r="V40" s="31"/>
      <c r="W40" s="33">
        <v>0</v>
      </c>
      <c r="X40" s="33"/>
      <c r="Y40" s="33">
        <v>5000</v>
      </c>
      <c r="Z40" s="33"/>
      <c r="AA40" s="33">
        <f>ROUND((W40-Y40),5)</f>
        <v>-5000</v>
      </c>
      <c r="AB40" s="33"/>
      <c r="AC40" s="33"/>
      <c r="AD40" s="34">
        <v>16198.91</v>
      </c>
      <c r="AE40" s="34"/>
      <c r="AF40" s="49"/>
      <c r="AG40" s="50"/>
      <c r="AH40" s="51">
        <v>0</v>
      </c>
      <c r="AI40" s="51"/>
      <c r="AJ40" s="51">
        <v>0</v>
      </c>
      <c r="AK40" s="51"/>
      <c r="AL40" s="51">
        <v>20000</v>
      </c>
      <c r="AM40" s="51"/>
      <c r="AN40" s="51">
        <v>52.08</v>
      </c>
      <c r="AO40" s="51"/>
      <c r="AP40" s="51">
        <f>ROUND(G40+O40+W40,5)</f>
        <v>52.08</v>
      </c>
      <c r="AQ40" s="51"/>
      <c r="AR40" s="51">
        <f>ROUND(I40+Q40+Y40,5)</f>
        <v>15000</v>
      </c>
      <c r="AS40" s="51">
        <f t="shared" si="29"/>
        <v>104.16</v>
      </c>
      <c r="AT40" s="51"/>
      <c r="AU40" s="65"/>
      <c r="AV40" s="54">
        <v>20000</v>
      </c>
      <c r="AW40" s="55"/>
      <c r="AX40" s="56">
        <f t="shared" si="28"/>
        <v>-19947.919999999998</v>
      </c>
      <c r="AY40" s="88"/>
      <c r="AZ40" s="89">
        <v>0</v>
      </c>
      <c r="BA40" s="54"/>
      <c r="BB40" s="82"/>
      <c r="BC40" s="60"/>
      <c r="BD40" s="54">
        <f t="shared" si="6"/>
        <v>0</v>
      </c>
      <c r="BE40" s="54"/>
      <c r="BF40" s="54"/>
      <c r="BG40" s="54">
        <v>20000</v>
      </c>
      <c r="BH40" s="54"/>
      <c r="BI40" s="54">
        <v>16420.18</v>
      </c>
      <c r="BJ40" s="54"/>
      <c r="BK40" s="54">
        <v>0</v>
      </c>
      <c r="BL40" s="54"/>
      <c r="BM40" s="58">
        <f t="shared" si="30"/>
        <v>-20000</v>
      </c>
      <c r="BN40" s="58"/>
      <c r="BO40" s="66">
        <v>0</v>
      </c>
      <c r="BP40" s="66"/>
      <c r="BQ40" s="66">
        <f t="shared" si="7"/>
        <v>0</v>
      </c>
      <c r="BR40" s="66"/>
      <c r="BS40" s="66">
        <f t="shared" si="1"/>
        <v>0</v>
      </c>
      <c r="BT40" s="58"/>
      <c r="BU40" s="54">
        <v>40000</v>
      </c>
      <c r="BV40" s="58"/>
      <c r="BW40" s="58">
        <f t="shared" si="15"/>
        <v>40000</v>
      </c>
      <c r="BX40" s="58"/>
      <c r="BY40" s="91" t="s">
        <v>260</v>
      </c>
      <c r="BZ40" s="66">
        <v>30708.27</v>
      </c>
      <c r="CA40" s="66"/>
      <c r="CB40" s="54">
        <v>0</v>
      </c>
      <c r="CC40" s="54"/>
      <c r="CD40" s="54">
        <v>0</v>
      </c>
      <c r="CE40" s="54"/>
      <c r="CF40" s="54">
        <v>20000</v>
      </c>
      <c r="CG40" s="60"/>
      <c r="CH40" s="61">
        <f t="shared" si="4"/>
        <v>20000</v>
      </c>
      <c r="CI40" s="200"/>
      <c r="CJ40" s="307" t="s">
        <v>261</v>
      </c>
    </row>
    <row r="41" spans="1:88" ht="15" hidden="1" customHeight="1" x14ac:dyDescent="0.2">
      <c r="A41" s="4"/>
      <c r="B41" s="27"/>
      <c r="C41" s="63"/>
      <c r="D41" s="28"/>
      <c r="E41" s="29"/>
      <c r="F41" s="28"/>
      <c r="G41" s="30"/>
      <c r="H41" s="31"/>
      <c r="I41" s="30"/>
      <c r="J41" s="31"/>
      <c r="K41" s="30"/>
      <c r="L41" s="31"/>
      <c r="M41" s="32"/>
      <c r="N41" s="31"/>
      <c r="O41" s="30"/>
      <c r="P41" s="31"/>
      <c r="Q41" s="30"/>
      <c r="R41" s="31"/>
      <c r="S41" s="30"/>
      <c r="T41" s="31"/>
      <c r="U41" s="32"/>
      <c r="V41" s="31"/>
      <c r="W41" s="33"/>
      <c r="X41" s="33"/>
      <c r="Y41" s="33"/>
      <c r="Z41" s="33"/>
      <c r="AA41" s="33"/>
      <c r="AB41" s="33"/>
      <c r="AC41" s="33"/>
      <c r="AD41" s="34"/>
      <c r="AE41" s="34"/>
      <c r="AF41" s="49"/>
      <c r="AG41" s="50"/>
      <c r="AH41" s="51"/>
      <c r="AI41" s="51"/>
      <c r="AJ41" s="51"/>
      <c r="AK41" s="51"/>
      <c r="AL41" s="51"/>
      <c r="AM41" s="51"/>
      <c r="AN41" s="52"/>
      <c r="AO41" s="51"/>
      <c r="AP41" s="51"/>
      <c r="AQ41" s="51"/>
      <c r="AR41" s="51"/>
      <c r="AS41" s="51">
        <f t="shared" si="29"/>
        <v>0</v>
      </c>
      <c r="AT41" s="51"/>
      <c r="AU41" s="65"/>
      <c r="AV41" s="54"/>
      <c r="AW41" s="55"/>
      <c r="AX41" s="56"/>
      <c r="AY41" s="88"/>
      <c r="AZ41" s="89"/>
      <c r="BA41" s="54"/>
      <c r="BB41" s="82"/>
      <c r="BC41" s="60"/>
      <c r="BD41" s="54"/>
      <c r="BE41" s="54"/>
      <c r="BF41" s="54"/>
      <c r="BG41" s="54"/>
      <c r="BH41" s="54"/>
      <c r="BI41" s="54"/>
      <c r="BJ41" s="54"/>
      <c r="BK41" s="54"/>
      <c r="BL41" s="54"/>
      <c r="BM41" s="58"/>
      <c r="BN41" s="58"/>
      <c r="BO41" s="113"/>
      <c r="BP41" s="113"/>
      <c r="BQ41" s="66"/>
      <c r="BR41" s="66"/>
      <c r="BS41" s="66"/>
      <c r="BT41" s="58"/>
      <c r="BU41" s="54"/>
      <c r="BV41" s="58"/>
      <c r="BW41" s="58">
        <f t="shared" si="15"/>
        <v>0</v>
      </c>
      <c r="BX41" s="58"/>
      <c r="BY41" s="91"/>
      <c r="BZ41" s="66"/>
      <c r="CA41" s="66"/>
      <c r="CB41" s="54"/>
      <c r="CC41" s="54"/>
      <c r="CD41" s="54"/>
      <c r="CE41" s="54"/>
      <c r="CF41" s="54"/>
      <c r="CG41" s="60"/>
      <c r="CH41" s="61">
        <f t="shared" si="4"/>
        <v>0</v>
      </c>
      <c r="CI41" s="200"/>
      <c r="CJ41" s="294"/>
    </row>
    <row r="42" spans="1:88" ht="14.25" hidden="1" customHeight="1" x14ac:dyDescent="0.2">
      <c r="A42" s="4"/>
      <c r="B42" s="27"/>
      <c r="C42" s="28"/>
      <c r="D42" s="133" t="s">
        <v>20</v>
      </c>
      <c r="E42" s="134"/>
      <c r="F42" s="133"/>
      <c r="G42" s="135">
        <v>574.70000000000005</v>
      </c>
      <c r="H42" s="136"/>
      <c r="I42" s="135">
        <v>666.63</v>
      </c>
      <c r="J42" s="136"/>
      <c r="K42" s="135">
        <f>ROUND((G42-I42),5)</f>
        <v>-91.93</v>
      </c>
      <c r="L42" s="136"/>
      <c r="M42" s="137">
        <f>ROUND(IF(I42=0, IF(G42=0, 0, 1), G42/I42),5)</f>
        <v>0.86209999999999998</v>
      </c>
      <c r="N42" s="136"/>
      <c r="O42" s="135">
        <v>750.98</v>
      </c>
      <c r="P42" s="136"/>
      <c r="Q42" s="135">
        <v>666.67</v>
      </c>
      <c r="R42" s="136"/>
      <c r="S42" s="135">
        <f>ROUND((O42-Q42),5)</f>
        <v>84.31</v>
      </c>
      <c r="T42" s="136"/>
      <c r="U42" s="137">
        <f>ROUND(IF(Q42=0, IF(O42=0, 0, 1), O42/Q42),5)</f>
        <v>1.12646</v>
      </c>
      <c r="V42" s="136"/>
      <c r="W42" s="138">
        <v>616.78</v>
      </c>
      <c r="X42" s="138"/>
      <c r="Y42" s="138">
        <v>666.67</v>
      </c>
      <c r="Z42" s="138"/>
      <c r="AA42" s="138">
        <f>ROUND((W42-Y42),5)</f>
        <v>-49.89</v>
      </c>
      <c r="AB42" s="138"/>
      <c r="AC42" s="138"/>
      <c r="AD42" s="138"/>
      <c r="AE42" s="138"/>
      <c r="AF42" s="139"/>
      <c r="AG42" s="140"/>
      <c r="AH42" s="141"/>
      <c r="AI42" s="141"/>
      <c r="AJ42" s="141">
        <v>7499.17</v>
      </c>
      <c r="AK42" s="141"/>
      <c r="AL42" s="141">
        <v>8000</v>
      </c>
      <c r="AM42" s="141"/>
      <c r="AN42" s="140">
        <v>52.08</v>
      </c>
      <c r="AO42" s="141"/>
      <c r="AP42" s="141">
        <v>3716.87</v>
      </c>
      <c r="AQ42" s="141"/>
      <c r="AR42" s="141">
        <f>ROUND(I42+Q42+Y42,5)</f>
        <v>1999.97</v>
      </c>
      <c r="AS42" s="141">
        <f t="shared" si="29"/>
        <v>7433.74</v>
      </c>
      <c r="AT42" s="141"/>
      <c r="AU42" s="127"/>
      <c r="AV42" s="54">
        <v>7500</v>
      </c>
      <c r="AW42" s="55"/>
      <c r="AX42" s="56">
        <f t="shared" ref="AX42:AX82" si="31">AN42-AL42</f>
        <v>-7947.92</v>
      </c>
      <c r="AY42" s="88"/>
      <c r="AZ42" s="89">
        <v>3625.4</v>
      </c>
      <c r="BA42" s="54"/>
      <c r="BB42" s="82"/>
      <c r="BC42" s="60"/>
      <c r="BD42" s="54">
        <v>7941.57</v>
      </c>
      <c r="BE42" s="54"/>
      <c r="BF42" s="54"/>
      <c r="BG42" s="54">
        <v>7500</v>
      </c>
      <c r="BH42" s="54"/>
      <c r="BI42" s="57">
        <v>8497.9599999999991</v>
      </c>
      <c r="BJ42" s="54"/>
      <c r="BK42" s="54">
        <v>7500</v>
      </c>
      <c r="BL42" s="54"/>
      <c r="BM42" s="58">
        <f t="shared" si="30"/>
        <v>0</v>
      </c>
      <c r="BN42" s="58"/>
      <c r="BO42" s="66">
        <v>4257.71</v>
      </c>
      <c r="BP42" s="66"/>
      <c r="BQ42" s="66">
        <f t="shared" si="7"/>
        <v>8515.42</v>
      </c>
      <c r="BR42" s="66"/>
      <c r="BS42" s="66">
        <f t="shared" si="1"/>
        <v>1015.4200000000001</v>
      </c>
      <c r="BT42" s="58"/>
      <c r="BU42" s="54">
        <v>8500</v>
      </c>
      <c r="BV42" s="58"/>
      <c r="BW42" s="58">
        <f t="shared" si="15"/>
        <v>1000</v>
      </c>
      <c r="BX42" s="58"/>
      <c r="BY42" s="91" t="s">
        <v>262</v>
      </c>
      <c r="BZ42" s="66">
        <f t="shared" ref="BZ42:BZ78" si="32">BX42*2</f>
        <v>0</v>
      </c>
      <c r="CA42" s="66"/>
      <c r="CB42" s="54">
        <v>8500</v>
      </c>
      <c r="CC42" s="54"/>
      <c r="CD42" s="54">
        <v>8500</v>
      </c>
      <c r="CE42" s="54"/>
      <c r="CF42" s="54">
        <v>8500</v>
      </c>
      <c r="CG42" s="60"/>
      <c r="CH42" s="61">
        <f t="shared" si="4"/>
        <v>0</v>
      </c>
      <c r="CI42" s="200"/>
      <c r="CJ42" s="294"/>
    </row>
    <row r="43" spans="1:88" ht="17.25" hidden="1" customHeight="1" x14ac:dyDescent="0.2">
      <c r="A43" s="4"/>
      <c r="B43" s="27"/>
      <c r="C43" s="28"/>
      <c r="D43" s="63"/>
      <c r="E43" s="29"/>
      <c r="F43" s="28"/>
      <c r="G43" s="30"/>
      <c r="H43" s="31"/>
      <c r="I43" s="30"/>
      <c r="J43" s="31"/>
      <c r="K43" s="30"/>
      <c r="L43" s="31"/>
      <c r="M43" s="32"/>
      <c r="N43" s="31"/>
      <c r="O43" s="30"/>
      <c r="P43" s="31"/>
      <c r="Q43" s="30"/>
      <c r="R43" s="31"/>
      <c r="S43" s="30"/>
      <c r="T43" s="31"/>
      <c r="U43" s="32"/>
      <c r="V43" s="31"/>
      <c r="W43" s="33"/>
      <c r="X43" s="33"/>
      <c r="Y43" s="33"/>
      <c r="Z43" s="33"/>
      <c r="AA43" s="33"/>
      <c r="AB43" s="33"/>
      <c r="AC43" s="33"/>
      <c r="AD43" s="34"/>
      <c r="AE43" s="34"/>
      <c r="AF43" s="49"/>
      <c r="AG43" s="50"/>
      <c r="AH43" s="51"/>
      <c r="AI43" s="51"/>
      <c r="AJ43" s="51"/>
      <c r="AK43" s="51"/>
      <c r="AL43" s="51"/>
      <c r="AM43" s="51"/>
      <c r="AN43" s="51"/>
      <c r="AO43" s="51"/>
      <c r="AP43" s="51"/>
      <c r="AQ43" s="51"/>
      <c r="AR43" s="51"/>
      <c r="AS43" s="51">
        <f t="shared" si="29"/>
        <v>0</v>
      </c>
      <c r="AT43" s="51"/>
      <c r="AU43" s="65"/>
      <c r="AV43" s="54"/>
      <c r="AW43" s="55"/>
      <c r="AX43" s="56">
        <f t="shared" si="31"/>
        <v>0</v>
      </c>
      <c r="AY43" s="88"/>
      <c r="AZ43" s="89"/>
      <c r="BA43" s="54"/>
      <c r="BB43" s="82"/>
      <c r="BC43" s="60"/>
      <c r="BD43" s="54">
        <f t="shared" si="6"/>
        <v>0</v>
      </c>
      <c r="BE43" s="54"/>
      <c r="BF43" s="54"/>
      <c r="BG43" s="54"/>
      <c r="BH43" s="54"/>
      <c r="BI43" s="57"/>
      <c r="BJ43" s="54"/>
      <c r="BK43" s="54"/>
      <c r="BL43" s="54"/>
      <c r="BM43" s="58">
        <f t="shared" ref="BM43:BM49" si="33">BK43-AV43</f>
        <v>0</v>
      </c>
      <c r="BN43" s="58"/>
      <c r="BO43" s="66">
        <v>4257.71</v>
      </c>
      <c r="BP43" s="66"/>
      <c r="BQ43" s="66">
        <f t="shared" si="7"/>
        <v>8515.42</v>
      </c>
      <c r="BR43" s="66"/>
      <c r="BS43" s="66">
        <f t="shared" si="1"/>
        <v>8515.42</v>
      </c>
      <c r="BT43" s="58"/>
      <c r="BU43" s="54">
        <f t="shared" ref="BU43:BU49" si="34">BM43-AX43</f>
        <v>0</v>
      </c>
      <c r="BV43" s="58"/>
      <c r="BW43" s="58">
        <f t="shared" si="15"/>
        <v>0</v>
      </c>
      <c r="BX43" s="58"/>
      <c r="BY43" s="91"/>
      <c r="BZ43" s="66">
        <f t="shared" si="32"/>
        <v>0</v>
      </c>
      <c r="CA43" s="66"/>
      <c r="CB43" s="54">
        <f t="shared" ref="CB43:CB49" si="35">BS43-BD43</f>
        <v>8515.42</v>
      </c>
      <c r="CC43" s="54"/>
      <c r="CD43" s="54">
        <f t="shared" ref="CD43:CD49" si="36">BT43-BE43</f>
        <v>0</v>
      </c>
      <c r="CE43" s="54"/>
      <c r="CF43" s="54">
        <f t="shared" ref="CF43:CF49" si="37">BU43-BF43</f>
        <v>0</v>
      </c>
      <c r="CG43" s="60"/>
      <c r="CH43" s="61">
        <f t="shared" si="4"/>
        <v>-8515.42</v>
      </c>
      <c r="CI43" s="200"/>
      <c r="CJ43" s="294"/>
    </row>
    <row r="44" spans="1:88" ht="17.25" hidden="1" customHeight="1" x14ac:dyDescent="0.2">
      <c r="A44" s="4"/>
      <c r="B44" s="27"/>
      <c r="C44" s="28"/>
      <c r="D44" s="28"/>
      <c r="E44" s="29" t="s">
        <v>23</v>
      </c>
      <c r="F44" s="28"/>
      <c r="G44" s="30">
        <v>0</v>
      </c>
      <c r="H44" s="31"/>
      <c r="I44" s="30">
        <v>1666.63</v>
      </c>
      <c r="J44" s="31"/>
      <c r="K44" s="30">
        <f>ROUND((G44-I44),5)</f>
        <v>-1666.63</v>
      </c>
      <c r="L44" s="31"/>
      <c r="M44" s="32">
        <f>ROUND(IF(I44=0, IF(G44=0, 0, 1), G44/I44),5)</f>
        <v>0</v>
      </c>
      <c r="N44" s="31"/>
      <c r="O44" s="30">
        <v>1579.34</v>
      </c>
      <c r="P44" s="31"/>
      <c r="Q44" s="30">
        <v>1666.67</v>
      </c>
      <c r="R44" s="31"/>
      <c r="S44" s="30">
        <f>ROUND((O44-Q44),5)</f>
        <v>-87.33</v>
      </c>
      <c r="T44" s="31"/>
      <c r="U44" s="32">
        <f>ROUND(IF(Q44=0, IF(O44=0, 0, 1), O44/Q44),5)</f>
        <v>0.9476</v>
      </c>
      <c r="V44" s="31"/>
      <c r="W44" s="33">
        <v>1563.37</v>
      </c>
      <c r="X44" s="33"/>
      <c r="Y44" s="33">
        <v>1666.67</v>
      </c>
      <c r="Z44" s="33"/>
      <c r="AA44" s="33">
        <f>ROUND((W44-Y44),5)</f>
        <v>-103.3</v>
      </c>
      <c r="AB44" s="33"/>
      <c r="AC44" s="33"/>
      <c r="AD44" s="34"/>
      <c r="AE44" s="34"/>
      <c r="AF44" s="49"/>
      <c r="AG44" s="50"/>
      <c r="AH44" s="51">
        <v>22026.84</v>
      </c>
      <c r="AI44" s="51"/>
      <c r="AJ44" s="51">
        <v>22026.84</v>
      </c>
      <c r="AK44" s="51"/>
      <c r="AL44" s="51">
        <v>20000</v>
      </c>
      <c r="AM44" s="51"/>
      <c r="AN44" s="51">
        <f t="shared" ref="AN44:AN49" si="38">AP44*4</f>
        <v>12570.84</v>
      </c>
      <c r="AO44" s="51"/>
      <c r="AP44" s="51">
        <f>ROUND(G44+O44+W44,5)</f>
        <v>3142.71</v>
      </c>
      <c r="AQ44" s="51"/>
      <c r="AR44" s="51">
        <f>ROUND(I44+Q44+Y44,5)</f>
        <v>4999.97</v>
      </c>
      <c r="AS44" s="51">
        <f t="shared" si="29"/>
        <v>6285.42</v>
      </c>
      <c r="AT44" s="51"/>
      <c r="AU44" s="65"/>
      <c r="AV44" s="54"/>
      <c r="AW44" s="55"/>
      <c r="AX44" s="56">
        <f t="shared" si="31"/>
        <v>-7429.16</v>
      </c>
      <c r="AY44" s="88"/>
      <c r="AZ44" s="89">
        <v>9122.9</v>
      </c>
      <c r="BA44" s="54"/>
      <c r="BB44" s="82"/>
      <c r="BC44" s="60"/>
      <c r="BD44" s="54">
        <f t="shared" si="6"/>
        <v>18245.8</v>
      </c>
      <c r="BE44" s="54"/>
      <c r="BF44" s="54"/>
      <c r="BG44" s="54"/>
      <c r="BH44" s="54"/>
      <c r="BI44" s="57"/>
      <c r="BJ44" s="54"/>
      <c r="BK44" s="54"/>
      <c r="BL44" s="54"/>
      <c r="BM44" s="58">
        <f t="shared" si="33"/>
        <v>0</v>
      </c>
      <c r="BN44" s="58"/>
      <c r="BO44" s="66"/>
      <c r="BP44" s="66"/>
      <c r="BQ44" s="66">
        <f t="shared" si="7"/>
        <v>0</v>
      </c>
      <c r="BR44" s="66"/>
      <c r="BS44" s="66">
        <f t="shared" si="1"/>
        <v>0</v>
      </c>
      <c r="BT44" s="58"/>
      <c r="BU44" s="54">
        <f t="shared" si="34"/>
        <v>7429.16</v>
      </c>
      <c r="BV44" s="58"/>
      <c r="BW44" s="58">
        <f t="shared" si="15"/>
        <v>7429.16</v>
      </c>
      <c r="BX44" s="58"/>
      <c r="BY44" s="91"/>
      <c r="BZ44" s="66">
        <f t="shared" si="32"/>
        <v>0</v>
      </c>
      <c r="CA44" s="66"/>
      <c r="CB44" s="54">
        <f t="shared" si="35"/>
        <v>-18245.8</v>
      </c>
      <c r="CC44" s="54"/>
      <c r="CD44" s="54">
        <f t="shared" si="36"/>
        <v>0</v>
      </c>
      <c r="CE44" s="54"/>
      <c r="CF44" s="54">
        <f t="shared" si="37"/>
        <v>7429.16</v>
      </c>
      <c r="CG44" s="60"/>
      <c r="CH44" s="61">
        <f t="shared" si="4"/>
        <v>25674.959999999999</v>
      </c>
      <c r="CI44" s="200"/>
      <c r="CJ44" s="294"/>
    </row>
    <row r="45" spans="1:88" ht="17.25" hidden="1" customHeight="1" x14ac:dyDescent="0.2">
      <c r="A45" s="4"/>
      <c r="B45" s="27"/>
      <c r="C45" s="28"/>
      <c r="D45" s="28"/>
      <c r="E45" s="29" t="s">
        <v>24</v>
      </c>
      <c r="F45" s="28"/>
      <c r="G45" s="30">
        <v>0</v>
      </c>
      <c r="H45" s="31"/>
      <c r="I45" s="30">
        <v>666.63</v>
      </c>
      <c r="J45" s="31"/>
      <c r="K45" s="30">
        <f>ROUND((G45-I45),5)</f>
        <v>-666.63</v>
      </c>
      <c r="L45" s="31"/>
      <c r="M45" s="32">
        <f>ROUND(IF(I45=0, IF(G45=0, 0, 1), G45/I45),5)</f>
        <v>0</v>
      </c>
      <c r="N45" s="31"/>
      <c r="O45" s="30">
        <v>1013.49</v>
      </c>
      <c r="P45" s="31"/>
      <c r="Q45" s="30">
        <v>666.67</v>
      </c>
      <c r="R45" s="31"/>
      <c r="S45" s="30">
        <f>ROUND((O45-Q45),5)</f>
        <v>346.82</v>
      </c>
      <c r="T45" s="31"/>
      <c r="U45" s="32">
        <f>ROUND(IF(Q45=0, IF(O45=0, 0, 1), O45/Q45),5)</f>
        <v>1.52023</v>
      </c>
      <c r="V45" s="31"/>
      <c r="W45" s="33">
        <v>1046.42</v>
      </c>
      <c r="X45" s="33"/>
      <c r="Y45" s="33">
        <v>666.67</v>
      </c>
      <c r="Z45" s="33"/>
      <c r="AA45" s="33">
        <f>ROUND((W45-Y45),5)</f>
        <v>379.75</v>
      </c>
      <c r="AB45" s="33"/>
      <c r="AC45" s="33"/>
      <c r="AD45" s="34"/>
      <c r="AE45" s="34"/>
      <c r="AF45" s="49"/>
      <c r="AG45" s="50"/>
      <c r="AH45" s="51">
        <v>11144.6</v>
      </c>
      <c r="AI45" s="51"/>
      <c r="AJ45" s="51">
        <v>11144.6</v>
      </c>
      <c r="AK45" s="51"/>
      <c r="AL45" s="51">
        <v>8000</v>
      </c>
      <c r="AM45" s="51"/>
      <c r="AN45" s="51">
        <f t="shared" si="38"/>
        <v>8239.64</v>
      </c>
      <c r="AO45" s="51"/>
      <c r="AP45" s="51">
        <f>ROUND(G45+O45+W45,5)</f>
        <v>2059.91</v>
      </c>
      <c r="AQ45" s="51"/>
      <c r="AR45" s="51">
        <f>ROUND(I45+Q45+Y45,5)</f>
        <v>1999.97</v>
      </c>
      <c r="AS45" s="51">
        <f t="shared" si="29"/>
        <v>4119.82</v>
      </c>
      <c r="AT45" s="51"/>
      <c r="AU45" s="65"/>
      <c r="AV45" s="54"/>
      <c r="AW45" s="55"/>
      <c r="AX45" s="56">
        <f t="shared" si="31"/>
        <v>239.63999999999942</v>
      </c>
      <c r="AY45" s="88"/>
      <c r="AZ45" s="89">
        <v>4314.83</v>
      </c>
      <c r="BA45" s="54"/>
      <c r="BB45" s="82"/>
      <c r="BC45" s="60"/>
      <c r="BD45" s="54">
        <f t="shared" si="6"/>
        <v>8629.66</v>
      </c>
      <c r="BE45" s="54"/>
      <c r="BF45" s="54"/>
      <c r="BG45" s="54"/>
      <c r="BH45" s="54"/>
      <c r="BI45" s="57"/>
      <c r="BJ45" s="54"/>
      <c r="BK45" s="54"/>
      <c r="BL45" s="54"/>
      <c r="BM45" s="58">
        <f t="shared" si="33"/>
        <v>0</v>
      </c>
      <c r="BN45" s="58"/>
      <c r="BO45" s="66">
        <v>8945.7199999999993</v>
      </c>
      <c r="BP45" s="66"/>
      <c r="BQ45" s="66">
        <f t="shared" si="7"/>
        <v>17891.439999999999</v>
      </c>
      <c r="BR45" s="66"/>
      <c r="BS45" s="66">
        <f t="shared" si="1"/>
        <v>17891.439999999999</v>
      </c>
      <c r="BT45" s="58"/>
      <c r="BU45" s="54">
        <f t="shared" si="34"/>
        <v>-239.63999999999942</v>
      </c>
      <c r="BV45" s="58"/>
      <c r="BW45" s="58">
        <f t="shared" si="15"/>
        <v>-239.63999999999942</v>
      </c>
      <c r="BX45" s="58"/>
      <c r="BY45" s="91"/>
      <c r="BZ45" s="66">
        <f t="shared" si="32"/>
        <v>0</v>
      </c>
      <c r="CA45" s="66"/>
      <c r="CB45" s="54">
        <f t="shared" si="35"/>
        <v>9261.7799999999988</v>
      </c>
      <c r="CC45" s="54"/>
      <c r="CD45" s="54">
        <f t="shared" si="36"/>
        <v>0</v>
      </c>
      <c r="CE45" s="54"/>
      <c r="CF45" s="54">
        <f t="shared" si="37"/>
        <v>-239.63999999999942</v>
      </c>
      <c r="CG45" s="60"/>
      <c r="CH45" s="61">
        <f t="shared" si="4"/>
        <v>-9501.4199999999983</v>
      </c>
      <c r="CI45" s="200"/>
      <c r="CJ45" s="294"/>
    </row>
    <row r="46" spans="1:88" ht="17.25" hidden="1" customHeight="1" x14ac:dyDescent="0.2">
      <c r="A46" s="4"/>
      <c r="B46" s="27"/>
      <c r="C46" s="28"/>
      <c r="D46" s="28"/>
      <c r="E46" s="29" t="s">
        <v>25</v>
      </c>
      <c r="F46" s="28"/>
      <c r="G46" s="30"/>
      <c r="H46" s="31"/>
      <c r="I46" s="30"/>
      <c r="J46" s="31"/>
      <c r="K46" s="30"/>
      <c r="L46" s="31"/>
      <c r="M46" s="32"/>
      <c r="N46" s="31"/>
      <c r="O46" s="30"/>
      <c r="P46" s="31"/>
      <c r="Q46" s="30"/>
      <c r="R46" s="31"/>
      <c r="S46" s="30"/>
      <c r="T46" s="31"/>
      <c r="U46" s="32"/>
      <c r="V46" s="31"/>
      <c r="W46" s="33"/>
      <c r="X46" s="33"/>
      <c r="Y46" s="33"/>
      <c r="Z46" s="33"/>
      <c r="AA46" s="33"/>
      <c r="AB46" s="33"/>
      <c r="AC46" s="33"/>
      <c r="AD46" s="34"/>
      <c r="AE46" s="34"/>
      <c r="AF46" s="49"/>
      <c r="AG46" s="50"/>
      <c r="AH46" s="51"/>
      <c r="AI46" s="51"/>
      <c r="AJ46" s="51"/>
      <c r="AK46" s="51"/>
      <c r="AL46" s="51"/>
      <c r="AM46" s="51"/>
      <c r="AN46" s="51">
        <f t="shared" si="38"/>
        <v>0</v>
      </c>
      <c r="AO46" s="51"/>
      <c r="AP46" s="51"/>
      <c r="AQ46" s="51"/>
      <c r="AR46" s="51"/>
      <c r="AS46" s="51">
        <f t="shared" si="29"/>
        <v>0</v>
      </c>
      <c r="AT46" s="51"/>
      <c r="AU46" s="65"/>
      <c r="AV46" s="54"/>
      <c r="AW46" s="55"/>
      <c r="AX46" s="56">
        <f t="shared" si="31"/>
        <v>0</v>
      </c>
      <c r="AY46" s="88"/>
      <c r="AZ46" s="89"/>
      <c r="BA46" s="54"/>
      <c r="BB46" s="82"/>
      <c r="BC46" s="60"/>
      <c r="BD46" s="54">
        <f t="shared" si="6"/>
        <v>0</v>
      </c>
      <c r="BE46" s="54"/>
      <c r="BF46" s="54"/>
      <c r="BG46" s="54"/>
      <c r="BH46" s="54"/>
      <c r="BI46" s="57"/>
      <c r="BJ46" s="54"/>
      <c r="BK46" s="54"/>
      <c r="BL46" s="54"/>
      <c r="BM46" s="58">
        <f t="shared" si="33"/>
        <v>0</v>
      </c>
      <c r="BN46" s="58"/>
      <c r="BO46" s="66">
        <v>5294.26</v>
      </c>
      <c r="BP46" s="66"/>
      <c r="BQ46" s="66">
        <f t="shared" si="7"/>
        <v>10588.52</v>
      </c>
      <c r="BR46" s="66"/>
      <c r="BS46" s="66">
        <f t="shared" si="1"/>
        <v>10588.52</v>
      </c>
      <c r="BT46" s="58"/>
      <c r="BU46" s="54">
        <f t="shared" si="34"/>
        <v>0</v>
      </c>
      <c r="BV46" s="58"/>
      <c r="BW46" s="58">
        <f t="shared" si="15"/>
        <v>0</v>
      </c>
      <c r="BX46" s="58"/>
      <c r="BY46" s="91"/>
      <c r="BZ46" s="66">
        <f t="shared" si="32"/>
        <v>0</v>
      </c>
      <c r="CA46" s="66"/>
      <c r="CB46" s="54">
        <f t="shared" si="35"/>
        <v>10588.52</v>
      </c>
      <c r="CC46" s="54"/>
      <c r="CD46" s="54">
        <f t="shared" si="36"/>
        <v>0</v>
      </c>
      <c r="CE46" s="54"/>
      <c r="CF46" s="54">
        <f t="shared" si="37"/>
        <v>0</v>
      </c>
      <c r="CG46" s="60"/>
      <c r="CH46" s="61">
        <f t="shared" si="4"/>
        <v>-10588.52</v>
      </c>
      <c r="CI46" s="200"/>
      <c r="CJ46" s="294"/>
    </row>
    <row r="47" spans="1:88" ht="17.25" hidden="1" customHeight="1" x14ac:dyDescent="0.2">
      <c r="A47" s="4"/>
      <c r="B47" s="27"/>
      <c r="C47" s="28"/>
      <c r="D47" s="28"/>
      <c r="E47" s="29"/>
      <c r="F47" s="28" t="s">
        <v>26</v>
      </c>
      <c r="G47" s="30">
        <v>1333.2</v>
      </c>
      <c r="H47" s="31"/>
      <c r="I47" s="30">
        <v>1916.63</v>
      </c>
      <c r="J47" s="31"/>
      <c r="K47" s="30">
        <f>ROUND((G47-I47),5)</f>
        <v>-583.42999999999995</v>
      </c>
      <c r="L47" s="31"/>
      <c r="M47" s="32">
        <f>ROUND(IF(I47=0, IF(G47=0, 0, 1), G47/I47),5)</f>
        <v>0.6956</v>
      </c>
      <c r="N47" s="31"/>
      <c r="O47" s="30">
        <v>1226.67</v>
      </c>
      <c r="P47" s="31"/>
      <c r="Q47" s="30">
        <v>1916.67</v>
      </c>
      <c r="R47" s="31"/>
      <c r="S47" s="30">
        <f>ROUND((O47-Q47),5)</f>
        <v>-690</v>
      </c>
      <c r="T47" s="31"/>
      <c r="U47" s="32">
        <f>ROUND(IF(Q47=0, IF(O47=0, 0, 1), O47/Q47),5)</f>
        <v>0.64</v>
      </c>
      <c r="V47" s="31"/>
      <c r="W47" s="33">
        <v>1788.56</v>
      </c>
      <c r="X47" s="33"/>
      <c r="Y47" s="33">
        <v>1916.67</v>
      </c>
      <c r="Z47" s="33"/>
      <c r="AA47" s="33">
        <f>ROUND((W47-Y47),5)</f>
        <v>-128.11000000000001</v>
      </c>
      <c r="AB47" s="33"/>
      <c r="AC47" s="33"/>
      <c r="AD47" s="34"/>
      <c r="AE47" s="34"/>
      <c r="AF47" s="49"/>
      <c r="AG47" s="50"/>
      <c r="AH47" s="51">
        <v>20169.79</v>
      </c>
      <c r="AI47" s="51"/>
      <c r="AJ47" s="51">
        <v>20169.79</v>
      </c>
      <c r="AK47" s="51"/>
      <c r="AL47" s="51">
        <v>23000</v>
      </c>
      <c r="AM47" s="51"/>
      <c r="AN47" s="51">
        <f t="shared" si="38"/>
        <v>21093.600000000002</v>
      </c>
      <c r="AO47" s="51"/>
      <c r="AP47" s="51">
        <f>ROUND(G47+O47+W47,5)+924.97</f>
        <v>5273.4000000000005</v>
      </c>
      <c r="AQ47" s="51"/>
      <c r="AR47" s="51">
        <f>ROUND(I47+Q47+Y47,5)</f>
        <v>5749.97</v>
      </c>
      <c r="AS47" s="51">
        <f t="shared" si="29"/>
        <v>10546.800000000001</v>
      </c>
      <c r="AT47" s="51"/>
      <c r="AU47" s="65"/>
      <c r="AV47" s="54"/>
      <c r="AW47" s="55"/>
      <c r="AX47" s="56">
        <f t="shared" si="31"/>
        <v>-1906.3999999999978</v>
      </c>
      <c r="AY47" s="88"/>
      <c r="AZ47" s="89">
        <v>10358.870000000001</v>
      </c>
      <c r="BA47" s="54"/>
      <c r="BB47" s="82"/>
      <c r="BC47" s="60"/>
      <c r="BD47" s="54">
        <f t="shared" si="6"/>
        <v>20717.740000000002</v>
      </c>
      <c r="BE47" s="54"/>
      <c r="BF47" s="54"/>
      <c r="BG47" s="54"/>
      <c r="BH47" s="54"/>
      <c r="BI47" s="57"/>
      <c r="BJ47" s="54"/>
      <c r="BK47" s="54"/>
      <c r="BL47" s="54"/>
      <c r="BM47" s="58">
        <f t="shared" si="33"/>
        <v>0</v>
      </c>
      <c r="BN47" s="58"/>
      <c r="BO47" s="66"/>
      <c r="BP47" s="66"/>
      <c r="BQ47" s="66">
        <f t="shared" si="7"/>
        <v>0</v>
      </c>
      <c r="BR47" s="66"/>
      <c r="BS47" s="66">
        <f t="shared" si="1"/>
        <v>0</v>
      </c>
      <c r="BT47" s="58"/>
      <c r="BU47" s="54">
        <f t="shared" si="34"/>
        <v>1906.3999999999978</v>
      </c>
      <c r="BV47" s="58"/>
      <c r="BW47" s="58">
        <f t="shared" si="15"/>
        <v>1906.3999999999978</v>
      </c>
      <c r="BX47" s="58"/>
      <c r="BY47" s="91"/>
      <c r="BZ47" s="66">
        <f t="shared" si="32"/>
        <v>0</v>
      </c>
      <c r="CA47" s="66"/>
      <c r="CB47" s="54">
        <f t="shared" si="35"/>
        <v>-20717.740000000002</v>
      </c>
      <c r="CC47" s="54"/>
      <c r="CD47" s="54">
        <f t="shared" si="36"/>
        <v>0</v>
      </c>
      <c r="CE47" s="54"/>
      <c r="CF47" s="54">
        <f t="shared" si="37"/>
        <v>1906.3999999999978</v>
      </c>
      <c r="CG47" s="60"/>
      <c r="CH47" s="61">
        <f t="shared" si="4"/>
        <v>22624.14</v>
      </c>
      <c r="CI47" s="200"/>
      <c r="CJ47" s="294"/>
    </row>
    <row r="48" spans="1:88" ht="17.25" hidden="1" customHeight="1" thickBot="1" x14ac:dyDescent="0.25">
      <c r="A48" s="4"/>
      <c r="B48" s="27"/>
      <c r="C48" s="28"/>
      <c r="D48" s="28"/>
      <c r="E48" s="29"/>
      <c r="F48" s="142" t="s">
        <v>27</v>
      </c>
      <c r="G48" s="68">
        <v>0</v>
      </c>
      <c r="H48" s="143"/>
      <c r="I48" s="68">
        <v>416.63</v>
      </c>
      <c r="J48" s="143"/>
      <c r="K48" s="68">
        <f>ROUND((G48-I48),5)</f>
        <v>-416.63</v>
      </c>
      <c r="L48" s="143"/>
      <c r="M48" s="69">
        <f>ROUND(IF(I48=0, IF(G48=0, 0, 1), G48/I48),5)</f>
        <v>0</v>
      </c>
      <c r="N48" s="143"/>
      <c r="O48" s="68">
        <v>316.44</v>
      </c>
      <c r="P48" s="143"/>
      <c r="Q48" s="68">
        <v>416.67</v>
      </c>
      <c r="R48" s="143"/>
      <c r="S48" s="68">
        <f>ROUND((O48-Q48),5)</f>
        <v>-100.23</v>
      </c>
      <c r="T48" s="143"/>
      <c r="U48" s="69">
        <f>ROUND(IF(Q48=0, IF(O48=0, 0, 1), O48/Q48),5)</f>
        <v>0.75944999999999996</v>
      </c>
      <c r="V48" s="143"/>
      <c r="W48" s="70">
        <v>0</v>
      </c>
      <c r="X48" s="70"/>
      <c r="Y48" s="70">
        <v>416.67</v>
      </c>
      <c r="Z48" s="70"/>
      <c r="AA48" s="70">
        <f>ROUND((W48-Y48),5)</f>
        <v>-416.67</v>
      </c>
      <c r="AB48" s="70"/>
      <c r="AC48" s="70"/>
      <c r="AD48" s="48"/>
      <c r="AE48" s="48"/>
      <c r="AF48" s="49"/>
      <c r="AG48" s="50"/>
      <c r="AH48" s="51">
        <v>4459.51</v>
      </c>
      <c r="AI48" s="51"/>
      <c r="AJ48" s="51">
        <v>4459.51</v>
      </c>
      <c r="AK48" s="51"/>
      <c r="AL48" s="51">
        <v>5000</v>
      </c>
      <c r="AM48" s="51"/>
      <c r="AN48" s="51">
        <f t="shared" si="38"/>
        <v>1265.76</v>
      </c>
      <c r="AO48" s="51"/>
      <c r="AP48" s="51">
        <f>ROUND(G48+O48+W48,5)</f>
        <v>316.44</v>
      </c>
      <c r="AQ48" s="51"/>
      <c r="AR48" s="51">
        <f>ROUND(I48+Q48+Y48,5)</f>
        <v>1249.97</v>
      </c>
      <c r="AS48" s="51">
        <f t="shared" si="29"/>
        <v>632.88</v>
      </c>
      <c r="AT48" s="51"/>
      <c r="AU48" s="65"/>
      <c r="AV48" s="54"/>
      <c r="AW48" s="55"/>
      <c r="AX48" s="56">
        <f t="shared" si="31"/>
        <v>-3734.24</v>
      </c>
      <c r="AY48" s="88"/>
      <c r="AZ48" s="97">
        <v>1064.77</v>
      </c>
      <c r="BA48" s="54"/>
      <c r="BB48" s="82"/>
      <c r="BC48" s="60"/>
      <c r="BD48" s="54">
        <f t="shared" si="6"/>
        <v>2129.54</v>
      </c>
      <c r="BE48" s="54"/>
      <c r="BF48" s="54"/>
      <c r="BG48" s="54"/>
      <c r="BH48" s="54"/>
      <c r="BI48" s="57"/>
      <c r="BJ48" s="54"/>
      <c r="BK48" s="54"/>
      <c r="BL48" s="54"/>
      <c r="BM48" s="58">
        <f t="shared" si="33"/>
        <v>0</v>
      </c>
      <c r="BN48" s="58"/>
      <c r="BO48" s="66">
        <v>7127.23</v>
      </c>
      <c r="BP48" s="66"/>
      <c r="BQ48" s="66">
        <f t="shared" si="7"/>
        <v>14254.46</v>
      </c>
      <c r="BR48" s="66"/>
      <c r="BS48" s="66">
        <f t="shared" si="1"/>
        <v>14254.46</v>
      </c>
      <c r="BT48" s="58"/>
      <c r="BU48" s="54">
        <f t="shared" si="34"/>
        <v>3734.24</v>
      </c>
      <c r="BV48" s="58"/>
      <c r="BW48" s="58">
        <f t="shared" si="15"/>
        <v>3734.24</v>
      </c>
      <c r="BX48" s="58"/>
      <c r="BY48" s="91"/>
      <c r="BZ48" s="66">
        <f t="shared" si="32"/>
        <v>0</v>
      </c>
      <c r="CA48" s="66"/>
      <c r="CB48" s="54">
        <f t="shared" si="35"/>
        <v>12124.919999999998</v>
      </c>
      <c r="CC48" s="54"/>
      <c r="CD48" s="54">
        <f t="shared" si="36"/>
        <v>0</v>
      </c>
      <c r="CE48" s="54"/>
      <c r="CF48" s="54">
        <f t="shared" si="37"/>
        <v>3734.24</v>
      </c>
      <c r="CG48" s="60"/>
      <c r="CH48" s="61">
        <f t="shared" si="4"/>
        <v>-8390.6799999999985</v>
      </c>
      <c r="CI48" s="200"/>
      <c r="CJ48" s="294"/>
    </row>
    <row r="49" spans="1:88" ht="30" hidden="1" customHeight="1" thickBot="1" x14ac:dyDescent="0.25">
      <c r="A49" s="4"/>
      <c r="B49" s="27"/>
      <c r="C49" s="28"/>
      <c r="D49" s="28"/>
      <c r="E49" s="29" t="s">
        <v>28</v>
      </c>
      <c r="F49" s="28"/>
      <c r="G49" s="30">
        <f>ROUND(SUM(G46:G48),5)</f>
        <v>1333.2</v>
      </c>
      <c r="H49" s="31"/>
      <c r="I49" s="30">
        <f>ROUND(SUM(I46:I48),5)</f>
        <v>2333.2600000000002</v>
      </c>
      <c r="J49" s="31"/>
      <c r="K49" s="30">
        <f>ROUND((G49-I49),5)</f>
        <v>-1000.06</v>
      </c>
      <c r="L49" s="31"/>
      <c r="M49" s="32">
        <f>ROUND(IF(I49=0, IF(G49=0, 0, 1), G49/I49),5)</f>
        <v>0.57138999999999995</v>
      </c>
      <c r="N49" s="31"/>
      <c r="O49" s="30">
        <f>ROUND(SUM(O46:O48),5)</f>
        <v>1543.11</v>
      </c>
      <c r="P49" s="31"/>
      <c r="Q49" s="30">
        <f>ROUND(SUM(Q46:Q48),5)</f>
        <v>2333.34</v>
      </c>
      <c r="R49" s="31"/>
      <c r="S49" s="30">
        <f>ROUND((O49-Q49),5)</f>
        <v>-790.23</v>
      </c>
      <c r="T49" s="31"/>
      <c r="U49" s="32">
        <f>ROUND(IF(Q49=0, IF(O49=0, 0, 1), O49/Q49),5)</f>
        <v>0.66132999999999997</v>
      </c>
      <c r="V49" s="31"/>
      <c r="W49" s="70">
        <f>ROUND(SUM(W46:W48),5)</f>
        <v>1788.56</v>
      </c>
      <c r="X49" s="70"/>
      <c r="Y49" s="70">
        <f>ROUND(SUM(Y46:Y48),5)</f>
        <v>2333.34</v>
      </c>
      <c r="Z49" s="70"/>
      <c r="AA49" s="70">
        <f>ROUND((W49-Y49),5)</f>
        <v>-544.78</v>
      </c>
      <c r="AB49" s="70"/>
      <c r="AC49" s="70"/>
      <c r="AD49" s="48"/>
      <c r="AE49" s="48"/>
      <c r="AF49" s="49"/>
      <c r="AG49" s="50"/>
      <c r="AH49" s="51">
        <f>AH48+AH47</f>
        <v>24629.300000000003</v>
      </c>
      <c r="AI49" s="51"/>
      <c r="AJ49" s="51">
        <v>24629.300000000003</v>
      </c>
      <c r="AK49" s="51"/>
      <c r="AL49" s="51">
        <v>28000</v>
      </c>
      <c r="AM49" s="51"/>
      <c r="AN49" s="51">
        <f t="shared" si="38"/>
        <v>18659.48</v>
      </c>
      <c r="AO49" s="51"/>
      <c r="AP49" s="51">
        <f>ROUND(G49+O49+W49,5)</f>
        <v>4664.87</v>
      </c>
      <c r="AQ49" s="51"/>
      <c r="AR49" s="51">
        <f>ROUND(I49+Q49+Y49,5)</f>
        <v>6999.94</v>
      </c>
      <c r="AS49" s="51">
        <f t="shared" si="29"/>
        <v>9329.74</v>
      </c>
      <c r="AT49" s="51"/>
      <c r="AU49" s="65"/>
      <c r="AV49" s="54"/>
      <c r="AW49" s="55"/>
      <c r="AX49" s="56">
        <f t="shared" si="31"/>
        <v>-9340.52</v>
      </c>
      <c r="AY49" s="88"/>
      <c r="AZ49" s="89">
        <v>11423.64</v>
      </c>
      <c r="BA49" s="54"/>
      <c r="BB49" s="82"/>
      <c r="BC49" s="60"/>
      <c r="BD49" s="54">
        <f t="shared" si="6"/>
        <v>22847.279999999999</v>
      </c>
      <c r="BE49" s="54"/>
      <c r="BF49" s="54"/>
      <c r="BG49" s="54"/>
      <c r="BH49" s="54"/>
      <c r="BI49" s="57"/>
      <c r="BJ49" s="54"/>
      <c r="BK49" s="54"/>
      <c r="BL49" s="54"/>
      <c r="BM49" s="58">
        <f t="shared" si="33"/>
        <v>0</v>
      </c>
      <c r="BN49" s="58"/>
      <c r="BO49" s="66">
        <v>127.07</v>
      </c>
      <c r="BP49" s="66"/>
      <c r="BQ49" s="66">
        <f t="shared" si="7"/>
        <v>254.14</v>
      </c>
      <c r="BR49" s="66"/>
      <c r="BS49" s="66">
        <f t="shared" si="1"/>
        <v>254.14</v>
      </c>
      <c r="BT49" s="58"/>
      <c r="BU49" s="54">
        <f t="shared" si="34"/>
        <v>9340.52</v>
      </c>
      <c r="BV49" s="58"/>
      <c r="BW49" s="58">
        <f t="shared" si="15"/>
        <v>9340.52</v>
      </c>
      <c r="BX49" s="58"/>
      <c r="BY49" s="91"/>
      <c r="BZ49" s="66">
        <f t="shared" si="32"/>
        <v>0</v>
      </c>
      <c r="CA49" s="66"/>
      <c r="CB49" s="54">
        <f t="shared" si="35"/>
        <v>-22593.14</v>
      </c>
      <c r="CC49" s="54"/>
      <c r="CD49" s="54">
        <f t="shared" si="36"/>
        <v>0</v>
      </c>
      <c r="CE49" s="54"/>
      <c r="CF49" s="54">
        <f t="shared" si="37"/>
        <v>9340.52</v>
      </c>
      <c r="CG49" s="60"/>
      <c r="CH49" s="61">
        <f t="shared" si="4"/>
        <v>31933.66</v>
      </c>
      <c r="CI49" s="200"/>
      <c r="CJ49" s="294"/>
    </row>
    <row r="50" spans="1:88" ht="12.75" hidden="1" customHeight="1" x14ac:dyDescent="0.2">
      <c r="A50" s="4"/>
      <c r="B50" s="27"/>
      <c r="C50" s="28"/>
      <c r="D50" s="28" t="s">
        <v>22</v>
      </c>
      <c r="E50" s="29"/>
      <c r="F50" s="28"/>
      <c r="G50" s="30">
        <f>ROUND(SUM(G43:G45)+SUM(G49:G49),5)</f>
        <v>1333.2</v>
      </c>
      <c r="H50" s="31"/>
      <c r="I50" s="30">
        <f>ROUND(SUM(I43:I45)+SUM(I49:I49),5)</f>
        <v>4666.5200000000004</v>
      </c>
      <c r="J50" s="31"/>
      <c r="K50" s="30">
        <f>ROUND((G50-I50),5)</f>
        <v>-3333.32</v>
      </c>
      <c r="L50" s="31"/>
      <c r="M50" s="32">
        <f>ROUND(IF(I50=0, IF(G50=0, 0, 1), G50/I50),5)</f>
        <v>0.28569</v>
      </c>
      <c r="N50" s="31"/>
      <c r="O50" s="30">
        <f>ROUND(SUM(O43:O45)+SUM(O49:O49),5)</f>
        <v>4135.9399999999996</v>
      </c>
      <c r="P50" s="31"/>
      <c r="Q50" s="30">
        <f>ROUND(SUM(Q43:Q45)+SUM(Q49:Q49),5)</f>
        <v>4666.68</v>
      </c>
      <c r="R50" s="31"/>
      <c r="S50" s="30">
        <f>ROUND((O50-Q50),5)</f>
        <v>-530.74</v>
      </c>
      <c r="T50" s="31"/>
      <c r="U50" s="32">
        <f>ROUND(IF(Q50=0, IF(O50=0, 0, 1), O50/Q50),5)</f>
        <v>0.88627</v>
      </c>
      <c r="V50" s="31"/>
      <c r="W50" s="33">
        <f>ROUND(SUM(W43:W45)+SUM(W49:W49),5)</f>
        <v>4398.3500000000004</v>
      </c>
      <c r="X50" s="33"/>
      <c r="Y50" s="33">
        <f>Y44+Y45+Y47+Y48</f>
        <v>4666.68</v>
      </c>
      <c r="Z50" s="33"/>
      <c r="AA50" s="33">
        <f>ROUND((W50-Y50),5)</f>
        <v>-268.33</v>
      </c>
      <c r="AB50" s="33"/>
      <c r="AC50" s="33"/>
      <c r="AD50" s="34">
        <v>74000</v>
      </c>
      <c r="AE50" s="34"/>
      <c r="AF50" s="49"/>
      <c r="AG50" s="50"/>
      <c r="AH50" s="51">
        <v>74000</v>
      </c>
      <c r="AI50" s="51"/>
      <c r="AJ50" s="51">
        <v>57800.740000000005</v>
      </c>
      <c r="AK50" s="51"/>
      <c r="AL50" s="51">
        <f>AL44+AL45+AL47+AL48</f>
        <v>56000</v>
      </c>
      <c r="AM50" s="51"/>
      <c r="AN50" s="51">
        <v>48536.34</v>
      </c>
      <c r="AO50" s="51"/>
      <c r="AP50" s="51">
        <v>26144.55</v>
      </c>
      <c r="AQ50" s="51"/>
      <c r="AR50" s="51">
        <f>AR44+AR45+AR47+AR48</f>
        <v>13999.88</v>
      </c>
      <c r="AS50" s="51">
        <f t="shared" si="29"/>
        <v>52289.1</v>
      </c>
      <c r="AT50" s="51"/>
      <c r="AU50" s="53"/>
      <c r="AV50" s="54">
        <v>53000</v>
      </c>
      <c r="AW50" s="55"/>
      <c r="AX50" s="56">
        <f t="shared" si="31"/>
        <v>-7463.6600000000035</v>
      </c>
      <c r="AY50" s="88"/>
      <c r="AZ50" s="82">
        <v>24861.37</v>
      </c>
      <c r="BA50" s="54"/>
      <c r="BB50" s="114"/>
      <c r="BC50" s="60"/>
      <c r="BD50" s="54">
        <v>52507.89</v>
      </c>
      <c r="BE50" s="54"/>
      <c r="BF50" s="54"/>
      <c r="BG50" s="54">
        <v>50000</v>
      </c>
      <c r="BH50" s="54"/>
      <c r="BI50" s="57">
        <v>58972.83</v>
      </c>
      <c r="BJ50" s="54"/>
      <c r="BK50" s="54">
        <v>50000</v>
      </c>
      <c r="BL50" s="54"/>
      <c r="BM50" s="58">
        <f t="shared" ref="BM50:BM78" si="39">BK50-BG50</f>
        <v>0</v>
      </c>
      <c r="BN50" s="58"/>
      <c r="BO50" s="66">
        <v>21705.57</v>
      </c>
      <c r="BP50" s="66"/>
      <c r="BQ50" s="66">
        <f>BO50*2</f>
        <v>43411.14</v>
      </c>
      <c r="BR50" s="66"/>
      <c r="BS50" s="66">
        <f t="shared" si="1"/>
        <v>-6588.8600000000006</v>
      </c>
      <c r="BT50" s="58"/>
      <c r="BU50" s="54">
        <v>45000</v>
      </c>
      <c r="BV50" s="58"/>
      <c r="BW50" s="58">
        <f t="shared" si="15"/>
        <v>-5000</v>
      </c>
      <c r="BX50" s="58"/>
      <c r="BY50" s="91" t="s">
        <v>263</v>
      </c>
      <c r="BZ50" s="66">
        <f t="shared" si="32"/>
        <v>0</v>
      </c>
      <c r="CA50" s="66"/>
      <c r="CB50" s="54">
        <v>45000</v>
      </c>
      <c r="CC50" s="54"/>
      <c r="CD50" s="54">
        <v>45000</v>
      </c>
      <c r="CE50" s="54"/>
      <c r="CF50" s="54">
        <v>45000</v>
      </c>
      <c r="CG50" s="60"/>
      <c r="CH50" s="61">
        <f t="shared" si="4"/>
        <v>0</v>
      </c>
      <c r="CI50" s="200"/>
      <c r="CJ50" s="294"/>
    </row>
    <row r="51" spans="1:88" ht="18" hidden="1" customHeight="1" x14ac:dyDescent="0.2">
      <c r="A51" s="4"/>
      <c r="B51" s="27"/>
      <c r="C51" s="28"/>
      <c r="D51" s="28"/>
      <c r="E51" s="29" t="s">
        <v>30</v>
      </c>
      <c r="F51" s="28"/>
      <c r="G51" s="30">
        <v>1009.12</v>
      </c>
      <c r="H51" s="31"/>
      <c r="I51" s="30"/>
      <c r="J51" s="31"/>
      <c r="K51" s="30"/>
      <c r="L51" s="31"/>
      <c r="M51" s="32"/>
      <c r="N51" s="31"/>
      <c r="O51" s="30">
        <v>0</v>
      </c>
      <c r="P51" s="31"/>
      <c r="Q51" s="30"/>
      <c r="R51" s="31"/>
      <c r="S51" s="30"/>
      <c r="T51" s="31"/>
      <c r="U51" s="32"/>
      <c r="V51" s="31"/>
      <c r="W51" s="33">
        <v>0</v>
      </c>
      <c r="X51" s="33"/>
      <c r="Y51" s="33"/>
      <c r="Z51" s="33"/>
      <c r="AA51" s="33"/>
      <c r="AB51" s="33"/>
      <c r="AC51" s="33"/>
      <c r="AD51" s="34"/>
      <c r="AE51" s="34"/>
      <c r="AF51" s="49"/>
      <c r="AG51" s="50"/>
      <c r="AH51" s="51"/>
      <c r="AI51" s="51"/>
      <c r="AJ51" s="51"/>
      <c r="AK51" s="51"/>
      <c r="AL51" s="51"/>
      <c r="AM51" s="51"/>
      <c r="AN51" s="51">
        <f t="shared" ref="AN51:AN61" si="40">AP51*4</f>
        <v>4036.48</v>
      </c>
      <c r="AO51" s="51"/>
      <c r="AP51" s="51">
        <f t="shared" ref="AP51:AP77" si="41">ROUND(G51+O51+W51,5)</f>
        <v>1009.12</v>
      </c>
      <c r="AQ51" s="51"/>
      <c r="AR51" s="51"/>
      <c r="AS51" s="51">
        <f t="shared" si="29"/>
        <v>2018.24</v>
      </c>
      <c r="AT51" s="51"/>
      <c r="AU51" s="65"/>
      <c r="AV51" s="54"/>
      <c r="AW51" s="55"/>
      <c r="AX51" s="56">
        <f t="shared" si="31"/>
        <v>4036.48</v>
      </c>
      <c r="AY51" s="88"/>
      <c r="AZ51" s="89">
        <v>24861.37</v>
      </c>
      <c r="BA51" s="54"/>
      <c r="BB51" s="114"/>
      <c r="BC51" s="60"/>
      <c r="BD51" s="54">
        <f t="shared" si="6"/>
        <v>49722.74</v>
      </c>
      <c r="BE51" s="54"/>
      <c r="BF51" s="54"/>
      <c r="BG51" s="54"/>
      <c r="BH51" s="54"/>
      <c r="BI51" s="57"/>
      <c r="BJ51" s="54"/>
      <c r="BK51" s="54"/>
      <c r="BL51" s="54"/>
      <c r="BM51" s="58">
        <f t="shared" si="39"/>
        <v>0</v>
      </c>
      <c r="BN51" s="58"/>
      <c r="BO51" s="66">
        <v>7465.59</v>
      </c>
      <c r="BP51" s="66"/>
      <c r="BQ51" s="66">
        <f t="shared" si="7"/>
        <v>14931.18</v>
      </c>
      <c r="BR51" s="66"/>
      <c r="BS51" s="66">
        <f t="shared" si="1"/>
        <v>14931.18</v>
      </c>
      <c r="BT51" s="58"/>
      <c r="BU51" s="54">
        <f t="shared" ref="BU51:BU61" si="42">BM51-BI51</f>
        <v>0</v>
      </c>
      <c r="BV51" s="58"/>
      <c r="BW51" s="58">
        <f t="shared" si="15"/>
        <v>0</v>
      </c>
      <c r="BX51" s="58"/>
      <c r="BY51" s="91"/>
      <c r="BZ51" s="66">
        <f t="shared" si="32"/>
        <v>0</v>
      </c>
      <c r="CA51" s="66"/>
      <c r="CB51" s="54">
        <f t="shared" ref="CB51:CB61" si="43">BS51-BO51</f>
        <v>7465.59</v>
      </c>
      <c r="CC51" s="54"/>
      <c r="CD51" s="54">
        <f t="shared" ref="CD51:CD61" si="44">BT51-BP51</f>
        <v>0</v>
      </c>
      <c r="CE51" s="54"/>
      <c r="CF51" s="54">
        <f t="shared" ref="CF51:CF61" si="45">BU51-BQ51</f>
        <v>-14931.18</v>
      </c>
      <c r="CG51" s="60"/>
      <c r="CH51" s="61">
        <f t="shared" si="4"/>
        <v>-22396.77</v>
      </c>
      <c r="CI51" s="200"/>
      <c r="CJ51" s="294"/>
    </row>
    <row r="52" spans="1:88" ht="18" hidden="1" customHeight="1" x14ac:dyDescent="0.2">
      <c r="A52" s="4"/>
      <c r="B52" s="27"/>
      <c r="C52" s="28"/>
      <c r="D52" s="28"/>
      <c r="E52" s="29" t="s">
        <v>31</v>
      </c>
      <c r="F52" s="28"/>
      <c r="G52" s="30">
        <v>235.87</v>
      </c>
      <c r="H52" s="31"/>
      <c r="I52" s="30"/>
      <c r="J52" s="31"/>
      <c r="K52" s="30"/>
      <c r="L52" s="31"/>
      <c r="M52" s="32"/>
      <c r="N52" s="31"/>
      <c r="O52" s="30">
        <v>0</v>
      </c>
      <c r="P52" s="31"/>
      <c r="Q52" s="30"/>
      <c r="R52" s="31"/>
      <c r="S52" s="30"/>
      <c r="T52" s="31"/>
      <c r="U52" s="32"/>
      <c r="V52" s="31"/>
      <c r="W52" s="33">
        <v>0</v>
      </c>
      <c r="X52" s="33"/>
      <c r="Y52" s="33"/>
      <c r="Z52" s="33"/>
      <c r="AA52" s="33"/>
      <c r="AB52" s="33"/>
      <c r="AC52" s="33"/>
      <c r="AD52" s="34"/>
      <c r="AE52" s="34"/>
      <c r="AF52" s="49"/>
      <c r="AG52" s="50"/>
      <c r="AH52" s="51"/>
      <c r="AI52" s="51"/>
      <c r="AJ52" s="51"/>
      <c r="AK52" s="51"/>
      <c r="AL52" s="51"/>
      <c r="AM52" s="51"/>
      <c r="AN52" s="51">
        <f t="shared" si="40"/>
        <v>943.48</v>
      </c>
      <c r="AO52" s="51"/>
      <c r="AP52" s="51">
        <f t="shared" si="41"/>
        <v>235.87</v>
      </c>
      <c r="AQ52" s="51"/>
      <c r="AR52" s="51"/>
      <c r="AS52" s="51">
        <f t="shared" si="29"/>
        <v>471.74</v>
      </c>
      <c r="AT52" s="51"/>
      <c r="AU52" s="65"/>
      <c r="AV52" s="54"/>
      <c r="AW52" s="55"/>
      <c r="AX52" s="56">
        <f t="shared" si="31"/>
        <v>943.48</v>
      </c>
      <c r="AY52" s="88"/>
      <c r="AZ52" s="89">
        <v>53844.28</v>
      </c>
      <c r="BA52" s="54"/>
      <c r="BB52" s="114"/>
      <c r="BC52" s="60"/>
      <c r="BD52" s="54">
        <f t="shared" si="6"/>
        <v>107688.56</v>
      </c>
      <c r="BE52" s="54"/>
      <c r="BF52" s="54"/>
      <c r="BG52" s="54"/>
      <c r="BH52" s="54"/>
      <c r="BI52" s="57"/>
      <c r="BJ52" s="54"/>
      <c r="BK52" s="54"/>
      <c r="BL52" s="54"/>
      <c r="BM52" s="58">
        <f t="shared" si="39"/>
        <v>0</v>
      </c>
      <c r="BN52" s="58"/>
      <c r="BO52" s="66">
        <v>0</v>
      </c>
      <c r="BP52" s="66"/>
      <c r="BQ52" s="66">
        <f t="shared" si="7"/>
        <v>0</v>
      </c>
      <c r="BR52" s="66"/>
      <c r="BS52" s="66">
        <f t="shared" si="1"/>
        <v>0</v>
      </c>
      <c r="BT52" s="58"/>
      <c r="BU52" s="54">
        <f t="shared" si="42"/>
        <v>0</v>
      </c>
      <c r="BV52" s="58"/>
      <c r="BW52" s="58">
        <f t="shared" si="15"/>
        <v>0</v>
      </c>
      <c r="BX52" s="58"/>
      <c r="BY52" s="91"/>
      <c r="BZ52" s="66">
        <f t="shared" si="32"/>
        <v>0</v>
      </c>
      <c r="CA52" s="66"/>
      <c r="CB52" s="54">
        <f t="shared" si="43"/>
        <v>0</v>
      </c>
      <c r="CC52" s="54"/>
      <c r="CD52" s="54">
        <f t="shared" si="44"/>
        <v>0</v>
      </c>
      <c r="CE52" s="54"/>
      <c r="CF52" s="54">
        <f t="shared" si="45"/>
        <v>0</v>
      </c>
      <c r="CG52" s="60"/>
      <c r="CH52" s="61">
        <f t="shared" si="4"/>
        <v>0</v>
      </c>
      <c r="CI52" s="200"/>
      <c r="CJ52" s="294"/>
    </row>
    <row r="53" spans="1:88" ht="18" hidden="1" customHeight="1" x14ac:dyDescent="0.2">
      <c r="A53" s="4"/>
      <c r="B53" s="27"/>
      <c r="C53" s="28"/>
      <c r="D53" s="28"/>
      <c r="E53" s="29" t="s">
        <v>32</v>
      </c>
      <c r="F53" s="28"/>
      <c r="G53" s="30">
        <v>218.27</v>
      </c>
      <c r="H53" s="31"/>
      <c r="I53" s="30"/>
      <c r="J53" s="31"/>
      <c r="K53" s="30"/>
      <c r="L53" s="31"/>
      <c r="M53" s="32"/>
      <c r="N53" s="31"/>
      <c r="O53" s="30">
        <v>0</v>
      </c>
      <c r="P53" s="31"/>
      <c r="Q53" s="30"/>
      <c r="R53" s="31"/>
      <c r="S53" s="30"/>
      <c r="T53" s="31"/>
      <c r="U53" s="32"/>
      <c r="V53" s="31"/>
      <c r="W53" s="33">
        <v>0</v>
      </c>
      <c r="X53" s="33"/>
      <c r="Y53" s="33"/>
      <c r="Z53" s="33"/>
      <c r="AA53" s="33"/>
      <c r="AB53" s="33"/>
      <c r="AC53" s="33"/>
      <c r="AD53" s="34"/>
      <c r="AE53" s="34"/>
      <c r="AF53" s="49"/>
      <c r="AG53" s="50"/>
      <c r="AH53" s="51"/>
      <c r="AI53" s="51"/>
      <c r="AJ53" s="51"/>
      <c r="AK53" s="51"/>
      <c r="AL53" s="51"/>
      <c r="AM53" s="51"/>
      <c r="AN53" s="51">
        <f t="shared" si="40"/>
        <v>873.08</v>
      </c>
      <c r="AO53" s="51"/>
      <c r="AP53" s="51">
        <f t="shared" si="41"/>
        <v>218.27</v>
      </c>
      <c r="AQ53" s="51"/>
      <c r="AR53" s="51"/>
      <c r="AS53" s="51">
        <f t="shared" si="29"/>
        <v>436.54</v>
      </c>
      <c r="AT53" s="51"/>
      <c r="AU53" s="65"/>
      <c r="AV53" s="54"/>
      <c r="AW53" s="55"/>
      <c r="AX53" s="56">
        <f t="shared" si="31"/>
        <v>873.08</v>
      </c>
      <c r="AY53" s="88"/>
      <c r="AZ53" s="89">
        <v>43938.400000000001</v>
      </c>
      <c r="BA53" s="54"/>
      <c r="BB53" s="114"/>
      <c r="BC53" s="60"/>
      <c r="BD53" s="54">
        <f t="shared" si="6"/>
        <v>87876.800000000003</v>
      </c>
      <c r="BE53" s="54"/>
      <c r="BF53" s="54"/>
      <c r="BG53" s="54"/>
      <c r="BH53" s="54"/>
      <c r="BI53" s="57"/>
      <c r="BJ53" s="54"/>
      <c r="BK53" s="54"/>
      <c r="BL53" s="54"/>
      <c r="BM53" s="58">
        <f t="shared" si="39"/>
        <v>0</v>
      </c>
      <c r="BN53" s="58"/>
      <c r="BO53" s="66">
        <v>21705.57</v>
      </c>
      <c r="BP53" s="66"/>
      <c r="BQ53" s="66">
        <f t="shared" si="7"/>
        <v>43411.14</v>
      </c>
      <c r="BR53" s="66"/>
      <c r="BS53" s="66">
        <f t="shared" si="1"/>
        <v>43411.14</v>
      </c>
      <c r="BT53" s="58"/>
      <c r="BU53" s="54">
        <f t="shared" si="42"/>
        <v>0</v>
      </c>
      <c r="BV53" s="58"/>
      <c r="BW53" s="58">
        <f t="shared" si="15"/>
        <v>0</v>
      </c>
      <c r="BX53" s="58"/>
      <c r="BY53" s="91"/>
      <c r="BZ53" s="66">
        <f t="shared" si="32"/>
        <v>0</v>
      </c>
      <c r="CA53" s="66"/>
      <c r="CB53" s="54">
        <f t="shared" si="43"/>
        <v>21705.57</v>
      </c>
      <c r="CC53" s="54"/>
      <c r="CD53" s="54">
        <f t="shared" si="44"/>
        <v>0</v>
      </c>
      <c r="CE53" s="54"/>
      <c r="CF53" s="54">
        <f t="shared" si="45"/>
        <v>-43411.14</v>
      </c>
      <c r="CG53" s="60"/>
      <c r="CH53" s="61">
        <f t="shared" si="4"/>
        <v>-65116.71</v>
      </c>
      <c r="CI53" s="200"/>
      <c r="CJ53" s="294"/>
    </row>
    <row r="54" spans="1:88" ht="18" hidden="1" customHeight="1" thickBot="1" x14ac:dyDescent="0.25">
      <c r="A54" s="4"/>
      <c r="B54" s="27"/>
      <c r="C54" s="28"/>
      <c r="D54" s="28"/>
      <c r="E54" s="29" t="s">
        <v>33</v>
      </c>
      <c r="F54" s="28"/>
      <c r="G54" s="30">
        <v>372.55</v>
      </c>
      <c r="H54" s="31"/>
      <c r="I54" s="30"/>
      <c r="J54" s="31"/>
      <c r="K54" s="30"/>
      <c r="L54" s="31"/>
      <c r="M54" s="32"/>
      <c r="N54" s="31"/>
      <c r="O54" s="30">
        <v>0</v>
      </c>
      <c r="P54" s="31"/>
      <c r="Q54" s="30"/>
      <c r="R54" s="31"/>
      <c r="S54" s="30"/>
      <c r="T54" s="31"/>
      <c r="U54" s="32"/>
      <c r="V54" s="31"/>
      <c r="W54" s="33">
        <v>0</v>
      </c>
      <c r="X54" s="33"/>
      <c r="Y54" s="33"/>
      <c r="Z54" s="33"/>
      <c r="AA54" s="33"/>
      <c r="AB54" s="33"/>
      <c r="AC54" s="33"/>
      <c r="AD54" s="34"/>
      <c r="AE54" s="34"/>
      <c r="AF54" s="49"/>
      <c r="AG54" s="50"/>
      <c r="AH54" s="51"/>
      <c r="AI54" s="51"/>
      <c r="AJ54" s="51"/>
      <c r="AK54" s="51"/>
      <c r="AL54" s="51"/>
      <c r="AM54" s="51"/>
      <c r="AN54" s="51">
        <f t="shared" si="40"/>
        <v>1490.2</v>
      </c>
      <c r="AO54" s="51"/>
      <c r="AP54" s="51">
        <f t="shared" si="41"/>
        <v>372.55</v>
      </c>
      <c r="AQ54" s="51"/>
      <c r="AR54" s="51"/>
      <c r="AS54" s="51">
        <f t="shared" si="29"/>
        <v>745.1</v>
      </c>
      <c r="AT54" s="51"/>
      <c r="AU54" s="65"/>
      <c r="AV54" s="54"/>
      <c r="AW54" s="55"/>
      <c r="AX54" s="56">
        <f t="shared" si="31"/>
        <v>1490.2</v>
      </c>
      <c r="AY54" s="88"/>
      <c r="AZ54" s="97">
        <v>12855.85</v>
      </c>
      <c r="BA54" s="54"/>
      <c r="BB54" s="114"/>
      <c r="BC54" s="60"/>
      <c r="BD54" s="54">
        <f t="shared" si="6"/>
        <v>25711.7</v>
      </c>
      <c r="BE54" s="54"/>
      <c r="BF54" s="54"/>
      <c r="BG54" s="54"/>
      <c r="BH54" s="54"/>
      <c r="BI54" s="57"/>
      <c r="BJ54" s="54"/>
      <c r="BK54" s="54"/>
      <c r="BL54" s="54"/>
      <c r="BM54" s="58">
        <f t="shared" si="39"/>
        <v>0</v>
      </c>
      <c r="BN54" s="58"/>
      <c r="BO54" s="66">
        <v>65102.89</v>
      </c>
      <c r="BP54" s="66"/>
      <c r="BQ54" s="66">
        <f t="shared" si="7"/>
        <v>130205.78</v>
      </c>
      <c r="BR54" s="66"/>
      <c r="BS54" s="66">
        <f t="shared" si="1"/>
        <v>130205.78</v>
      </c>
      <c r="BT54" s="58"/>
      <c r="BU54" s="54">
        <f t="shared" si="42"/>
        <v>0</v>
      </c>
      <c r="BV54" s="58"/>
      <c r="BW54" s="58">
        <f t="shared" si="15"/>
        <v>0</v>
      </c>
      <c r="BX54" s="58"/>
      <c r="BY54" s="91"/>
      <c r="BZ54" s="66">
        <f t="shared" si="32"/>
        <v>0</v>
      </c>
      <c r="CA54" s="66"/>
      <c r="CB54" s="54">
        <f t="shared" si="43"/>
        <v>65102.89</v>
      </c>
      <c r="CC54" s="54"/>
      <c r="CD54" s="54">
        <f t="shared" si="44"/>
        <v>0</v>
      </c>
      <c r="CE54" s="54"/>
      <c r="CF54" s="54">
        <f t="shared" si="45"/>
        <v>-130205.78</v>
      </c>
      <c r="CG54" s="60"/>
      <c r="CH54" s="61">
        <f t="shared" si="4"/>
        <v>-195308.66999999998</v>
      </c>
      <c r="CI54" s="200"/>
      <c r="CJ54" s="294"/>
    </row>
    <row r="55" spans="1:88" ht="18" hidden="1" customHeight="1" x14ac:dyDescent="0.2">
      <c r="A55" s="4"/>
      <c r="B55" s="27"/>
      <c r="C55" s="28"/>
      <c r="D55" s="28"/>
      <c r="E55" s="29" t="s">
        <v>34</v>
      </c>
      <c r="F55" s="28"/>
      <c r="G55" s="30">
        <v>312.83999999999997</v>
      </c>
      <c r="H55" s="31"/>
      <c r="I55" s="30"/>
      <c r="J55" s="31"/>
      <c r="K55" s="30"/>
      <c r="L55" s="31"/>
      <c r="M55" s="32"/>
      <c r="N55" s="31"/>
      <c r="O55" s="30">
        <v>0</v>
      </c>
      <c r="P55" s="31"/>
      <c r="Q55" s="30"/>
      <c r="R55" s="31"/>
      <c r="S55" s="30"/>
      <c r="T55" s="31"/>
      <c r="U55" s="32"/>
      <c r="V55" s="31"/>
      <c r="W55" s="33">
        <v>0</v>
      </c>
      <c r="X55" s="33"/>
      <c r="Y55" s="33"/>
      <c r="Z55" s="33"/>
      <c r="AA55" s="33"/>
      <c r="AB55" s="33"/>
      <c r="AC55" s="33"/>
      <c r="AD55" s="34"/>
      <c r="AE55" s="34"/>
      <c r="AF55" s="49"/>
      <c r="AG55" s="50"/>
      <c r="AH55" s="51"/>
      <c r="AI55" s="51"/>
      <c r="AJ55" s="51"/>
      <c r="AK55" s="51"/>
      <c r="AL55" s="51"/>
      <c r="AM55" s="51"/>
      <c r="AN55" s="51">
        <f t="shared" si="40"/>
        <v>1251.3599999999999</v>
      </c>
      <c r="AO55" s="51"/>
      <c r="AP55" s="51">
        <f t="shared" si="41"/>
        <v>312.83999999999997</v>
      </c>
      <c r="AQ55" s="51"/>
      <c r="AR55" s="51"/>
      <c r="AS55" s="51">
        <f t="shared" si="29"/>
        <v>625.67999999999995</v>
      </c>
      <c r="AT55" s="51"/>
      <c r="AU55" s="65"/>
      <c r="AV55" s="54"/>
      <c r="AW55" s="55"/>
      <c r="AX55" s="56">
        <f t="shared" si="31"/>
        <v>1251.3599999999999</v>
      </c>
      <c r="AY55" s="88"/>
      <c r="AZ55" s="89">
        <v>143539.59</v>
      </c>
      <c r="BA55" s="54"/>
      <c r="BB55" s="114"/>
      <c r="BC55" s="60"/>
      <c r="BD55" s="54">
        <f t="shared" si="6"/>
        <v>287079.18</v>
      </c>
      <c r="BE55" s="54"/>
      <c r="BF55" s="54"/>
      <c r="BG55" s="54"/>
      <c r="BH55" s="54"/>
      <c r="BI55" s="57"/>
      <c r="BJ55" s="54"/>
      <c r="BK55" s="54"/>
      <c r="BL55" s="54"/>
      <c r="BM55" s="58">
        <f t="shared" si="39"/>
        <v>0</v>
      </c>
      <c r="BN55" s="58"/>
      <c r="BO55" s="66">
        <v>36864.870000000003</v>
      </c>
      <c r="BP55" s="66"/>
      <c r="BQ55" s="66">
        <f t="shared" si="7"/>
        <v>73729.740000000005</v>
      </c>
      <c r="BR55" s="66"/>
      <c r="BS55" s="66">
        <f t="shared" si="1"/>
        <v>73729.740000000005</v>
      </c>
      <c r="BT55" s="58"/>
      <c r="BU55" s="54">
        <f t="shared" si="42"/>
        <v>0</v>
      </c>
      <c r="BV55" s="58"/>
      <c r="BW55" s="58">
        <f t="shared" si="15"/>
        <v>0</v>
      </c>
      <c r="BX55" s="58"/>
      <c r="BY55" s="91"/>
      <c r="BZ55" s="66">
        <f t="shared" si="32"/>
        <v>0</v>
      </c>
      <c r="CA55" s="66"/>
      <c r="CB55" s="54">
        <f t="shared" si="43"/>
        <v>36864.870000000003</v>
      </c>
      <c r="CC55" s="54"/>
      <c r="CD55" s="54">
        <f t="shared" si="44"/>
        <v>0</v>
      </c>
      <c r="CE55" s="54"/>
      <c r="CF55" s="54">
        <f t="shared" si="45"/>
        <v>-73729.740000000005</v>
      </c>
      <c r="CG55" s="60"/>
      <c r="CH55" s="61">
        <f t="shared" si="4"/>
        <v>-110594.61000000002</v>
      </c>
      <c r="CI55" s="200"/>
      <c r="CJ55" s="294"/>
    </row>
    <row r="56" spans="1:88" ht="18" hidden="1" customHeight="1" x14ac:dyDescent="0.2">
      <c r="A56" s="4"/>
      <c r="B56" s="27"/>
      <c r="C56" s="28"/>
      <c r="D56" s="28"/>
      <c r="E56" s="29" t="s">
        <v>35</v>
      </c>
      <c r="F56" s="28"/>
      <c r="G56" s="30">
        <v>346.37</v>
      </c>
      <c r="H56" s="31"/>
      <c r="I56" s="30"/>
      <c r="J56" s="31"/>
      <c r="K56" s="30"/>
      <c r="L56" s="31"/>
      <c r="M56" s="32"/>
      <c r="N56" s="31"/>
      <c r="O56" s="30">
        <v>0</v>
      </c>
      <c r="P56" s="31"/>
      <c r="Q56" s="30"/>
      <c r="R56" s="31"/>
      <c r="S56" s="30"/>
      <c r="T56" s="31"/>
      <c r="U56" s="32"/>
      <c r="V56" s="31"/>
      <c r="W56" s="33">
        <v>0</v>
      </c>
      <c r="X56" s="33"/>
      <c r="Y56" s="33"/>
      <c r="Z56" s="33"/>
      <c r="AA56" s="33"/>
      <c r="AB56" s="33"/>
      <c r="AC56" s="33"/>
      <c r="AD56" s="34"/>
      <c r="AE56" s="34"/>
      <c r="AF56" s="49"/>
      <c r="AG56" s="50"/>
      <c r="AH56" s="51"/>
      <c r="AI56" s="51"/>
      <c r="AJ56" s="51"/>
      <c r="AK56" s="51"/>
      <c r="AL56" s="51"/>
      <c r="AM56" s="51"/>
      <c r="AN56" s="51">
        <f t="shared" si="40"/>
        <v>1385.48</v>
      </c>
      <c r="AO56" s="51"/>
      <c r="AP56" s="51">
        <f t="shared" si="41"/>
        <v>346.37</v>
      </c>
      <c r="AQ56" s="51"/>
      <c r="AR56" s="51"/>
      <c r="AS56" s="51">
        <f t="shared" si="29"/>
        <v>692.74</v>
      </c>
      <c r="AT56" s="51"/>
      <c r="AU56" s="65"/>
      <c r="AV56" s="54"/>
      <c r="AW56" s="55"/>
      <c r="AX56" s="56">
        <f t="shared" si="31"/>
        <v>1385.48</v>
      </c>
      <c r="AY56" s="56"/>
      <c r="AZ56" s="54"/>
      <c r="BA56" s="54"/>
      <c r="BB56" s="114"/>
      <c r="BC56" s="60"/>
      <c r="BD56" s="54">
        <f t="shared" si="6"/>
        <v>0</v>
      </c>
      <c r="BE56" s="54"/>
      <c r="BF56" s="54"/>
      <c r="BG56" s="54"/>
      <c r="BH56" s="54"/>
      <c r="BI56" s="54"/>
      <c r="BJ56" s="54"/>
      <c r="BK56" s="54"/>
      <c r="BL56" s="54"/>
      <c r="BM56" s="58">
        <f t="shared" si="39"/>
        <v>0</v>
      </c>
      <c r="BN56" s="58"/>
      <c r="BO56" s="66">
        <v>16496.98</v>
      </c>
      <c r="BP56" s="66"/>
      <c r="BQ56" s="66">
        <f t="shared" si="7"/>
        <v>32993.96</v>
      </c>
      <c r="BR56" s="66"/>
      <c r="BS56" s="66">
        <f t="shared" si="1"/>
        <v>32993.96</v>
      </c>
      <c r="BT56" s="58"/>
      <c r="BU56" s="54">
        <f t="shared" si="42"/>
        <v>0</v>
      </c>
      <c r="BV56" s="58"/>
      <c r="BW56" s="58">
        <f t="shared" si="15"/>
        <v>0</v>
      </c>
      <c r="BX56" s="58"/>
      <c r="BY56" s="91"/>
      <c r="BZ56" s="66">
        <f t="shared" si="32"/>
        <v>0</v>
      </c>
      <c r="CA56" s="66"/>
      <c r="CB56" s="54">
        <f t="shared" si="43"/>
        <v>16496.98</v>
      </c>
      <c r="CC56" s="54"/>
      <c r="CD56" s="54">
        <f t="shared" si="44"/>
        <v>0</v>
      </c>
      <c r="CE56" s="54"/>
      <c r="CF56" s="54">
        <f t="shared" si="45"/>
        <v>-32993.96</v>
      </c>
      <c r="CG56" s="60"/>
      <c r="CH56" s="61">
        <f t="shared" si="4"/>
        <v>-49490.94</v>
      </c>
      <c r="CI56" s="200"/>
      <c r="CJ56" s="294"/>
    </row>
    <row r="57" spans="1:88" ht="18" hidden="1" customHeight="1" x14ac:dyDescent="0.2">
      <c r="A57" s="4"/>
      <c r="B57" s="27"/>
      <c r="C57" s="28"/>
      <c r="D57" s="28"/>
      <c r="E57" s="29" t="s">
        <v>36</v>
      </c>
      <c r="F57" s="28"/>
      <c r="G57" s="30">
        <v>336.25</v>
      </c>
      <c r="H57" s="31"/>
      <c r="I57" s="30"/>
      <c r="J57" s="31"/>
      <c r="K57" s="30"/>
      <c r="L57" s="31"/>
      <c r="M57" s="32"/>
      <c r="N57" s="31"/>
      <c r="O57" s="30">
        <v>0</v>
      </c>
      <c r="P57" s="31"/>
      <c r="Q57" s="30"/>
      <c r="R57" s="31"/>
      <c r="S57" s="30"/>
      <c r="T57" s="31"/>
      <c r="U57" s="32"/>
      <c r="V57" s="31"/>
      <c r="W57" s="33">
        <v>0</v>
      </c>
      <c r="X57" s="33"/>
      <c r="Y57" s="33"/>
      <c r="Z57" s="33"/>
      <c r="AA57" s="33"/>
      <c r="AB57" s="33"/>
      <c r="AC57" s="33"/>
      <c r="AD57" s="34"/>
      <c r="AE57" s="34"/>
      <c r="AF57" s="49"/>
      <c r="AG57" s="50"/>
      <c r="AH57" s="51"/>
      <c r="AI57" s="51"/>
      <c r="AJ57" s="51"/>
      <c r="AK57" s="51"/>
      <c r="AL57" s="51"/>
      <c r="AM57" s="51"/>
      <c r="AN57" s="51">
        <f t="shared" si="40"/>
        <v>1345</v>
      </c>
      <c r="AO57" s="51"/>
      <c r="AP57" s="51">
        <f t="shared" si="41"/>
        <v>336.25</v>
      </c>
      <c r="AQ57" s="51"/>
      <c r="AR57" s="51"/>
      <c r="AS57" s="51">
        <f t="shared" si="29"/>
        <v>672.5</v>
      </c>
      <c r="AT57" s="51"/>
      <c r="AU57" s="65"/>
      <c r="AV57" s="54"/>
      <c r="AW57" s="55"/>
      <c r="AX57" s="56">
        <f t="shared" si="31"/>
        <v>1345</v>
      </c>
      <c r="AY57" s="56"/>
      <c r="AZ57" s="54"/>
      <c r="BA57" s="54"/>
      <c r="BB57" s="114"/>
      <c r="BC57" s="60"/>
      <c r="BD57" s="54">
        <f t="shared" si="6"/>
        <v>0</v>
      </c>
      <c r="BE57" s="54"/>
      <c r="BF57" s="54"/>
      <c r="BG57" s="54"/>
      <c r="BH57" s="54"/>
      <c r="BI57" s="54"/>
      <c r="BJ57" s="54"/>
      <c r="BK57" s="54"/>
      <c r="BL57" s="54"/>
      <c r="BM57" s="58">
        <f t="shared" si="39"/>
        <v>0</v>
      </c>
      <c r="BN57" s="58"/>
      <c r="BO57" s="66">
        <v>144428.01999999999</v>
      </c>
      <c r="BP57" s="66"/>
      <c r="BQ57" s="66">
        <f t="shared" si="7"/>
        <v>288856.03999999998</v>
      </c>
      <c r="BR57" s="66"/>
      <c r="BS57" s="66">
        <f t="shared" si="1"/>
        <v>288856.03999999998</v>
      </c>
      <c r="BT57" s="58"/>
      <c r="BU57" s="54">
        <f t="shared" si="42"/>
        <v>0</v>
      </c>
      <c r="BV57" s="58"/>
      <c r="BW57" s="58">
        <f t="shared" si="15"/>
        <v>0</v>
      </c>
      <c r="BX57" s="58"/>
      <c r="BY57" s="91"/>
      <c r="BZ57" s="66">
        <f t="shared" si="32"/>
        <v>0</v>
      </c>
      <c r="CA57" s="66"/>
      <c r="CB57" s="54">
        <f t="shared" si="43"/>
        <v>144428.01999999999</v>
      </c>
      <c r="CC57" s="54"/>
      <c r="CD57" s="54">
        <f t="shared" si="44"/>
        <v>0</v>
      </c>
      <c r="CE57" s="54"/>
      <c r="CF57" s="54">
        <f t="shared" si="45"/>
        <v>-288856.03999999998</v>
      </c>
      <c r="CG57" s="60"/>
      <c r="CH57" s="61">
        <f t="shared" si="4"/>
        <v>-433284.05999999994</v>
      </c>
      <c r="CI57" s="200"/>
      <c r="CJ57" s="294"/>
    </row>
    <row r="58" spans="1:88" ht="18" hidden="1" customHeight="1" x14ac:dyDescent="0.2">
      <c r="A58" s="4"/>
      <c r="B58" s="27"/>
      <c r="C58" s="28"/>
      <c r="D58" s="28"/>
      <c r="E58" s="29" t="s">
        <v>37</v>
      </c>
      <c r="F58" s="28"/>
      <c r="G58" s="30">
        <v>228.43</v>
      </c>
      <c r="H58" s="31"/>
      <c r="I58" s="30"/>
      <c r="J58" s="31"/>
      <c r="K58" s="30"/>
      <c r="L58" s="31"/>
      <c r="M58" s="32"/>
      <c r="N58" s="31"/>
      <c r="O58" s="30">
        <v>0</v>
      </c>
      <c r="P58" s="31"/>
      <c r="Q58" s="30"/>
      <c r="R58" s="31"/>
      <c r="S58" s="30"/>
      <c r="T58" s="31"/>
      <c r="U58" s="32"/>
      <c r="V58" s="31"/>
      <c r="W58" s="33">
        <v>0</v>
      </c>
      <c r="X58" s="33"/>
      <c r="Y58" s="33"/>
      <c r="Z58" s="33"/>
      <c r="AA58" s="33"/>
      <c r="AB58" s="33"/>
      <c r="AC58" s="33"/>
      <c r="AD58" s="34"/>
      <c r="AE58" s="34"/>
      <c r="AF58" s="49"/>
      <c r="AG58" s="50"/>
      <c r="AH58" s="51"/>
      <c r="AI58" s="51"/>
      <c r="AJ58" s="51"/>
      <c r="AK58" s="51"/>
      <c r="AL58" s="51"/>
      <c r="AM58" s="51"/>
      <c r="AN58" s="51">
        <f t="shared" si="40"/>
        <v>913.72</v>
      </c>
      <c r="AO58" s="51"/>
      <c r="AP58" s="51">
        <f t="shared" si="41"/>
        <v>228.43</v>
      </c>
      <c r="AQ58" s="51"/>
      <c r="AR58" s="51"/>
      <c r="AS58" s="51">
        <f t="shared" si="29"/>
        <v>456.86</v>
      </c>
      <c r="AT58" s="51"/>
      <c r="AU58" s="65"/>
      <c r="AV58" s="54"/>
      <c r="AW58" s="55"/>
      <c r="AX58" s="56">
        <f t="shared" si="31"/>
        <v>913.72</v>
      </c>
      <c r="AY58" s="56"/>
      <c r="AZ58" s="54"/>
      <c r="BA58" s="54"/>
      <c r="BB58" s="114"/>
      <c r="BC58" s="60"/>
      <c r="BD58" s="54">
        <f t="shared" si="6"/>
        <v>0</v>
      </c>
      <c r="BE58" s="54"/>
      <c r="BF58" s="54"/>
      <c r="BG58" s="54"/>
      <c r="BH58" s="54"/>
      <c r="BI58" s="54"/>
      <c r="BJ58" s="54"/>
      <c r="BK58" s="54"/>
      <c r="BL58" s="54"/>
      <c r="BM58" s="58">
        <f t="shared" si="39"/>
        <v>0</v>
      </c>
      <c r="BN58" s="58"/>
      <c r="BO58" s="66">
        <v>4042.64</v>
      </c>
      <c r="BP58" s="66"/>
      <c r="BQ58" s="66">
        <f t="shared" si="7"/>
        <v>8085.28</v>
      </c>
      <c r="BR58" s="66"/>
      <c r="BS58" s="66">
        <f t="shared" si="1"/>
        <v>8085.28</v>
      </c>
      <c r="BT58" s="58"/>
      <c r="BU58" s="54">
        <f t="shared" si="42"/>
        <v>0</v>
      </c>
      <c r="BV58" s="58"/>
      <c r="BW58" s="58">
        <f t="shared" si="15"/>
        <v>0</v>
      </c>
      <c r="BX58" s="58"/>
      <c r="BY58" s="91"/>
      <c r="BZ58" s="66">
        <f t="shared" si="32"/>
        <v>0</v>
      </c>
      <c r="CA58" s="66"/>
      <c r="CB58" s="54">
        <f t="shared" si="43"/>
        <v>4042.64</v>
      </c>
      <c r="CC58" s="54"/>
      <c r="CD58" s="54">
        <f t="shared" si="44"/>
        <v>0</v>
      </c>
      <c r="CE58" s="54"/>
      <c r="CF58" s="54">
        <f t="shared" si="45"/>
        <v>-8085.28</v>
      </c>
      <c r="CG58" s="60"/>
      <c r="CH58" s="61">
        <f t="shared" si="4"/>
        <v>-12127.92</v>
      </c>
      <c r="CI58" s="200"/>
      <c r="CJ58" s="294"/>
    </row>
    <row r="59" spans="1:88" ht="18" hidden="1" customHeight="1" x14ac:dyDescent="0.2">
      <c r="A59" s="4"/>
      <c r="B59" s="27"/>
      <c r="C59" s="28"/>
      <c r="D59" s="28"/>
      <c r="E59" s="29" t="s">
        <v>38</v>
      </c>
      <c r="F59" s="28"/>
      <c r="G59" s="30">
        <v>315.54000000000002</v>
      </c>
      <c r="H59" s="31"/>
      <c r="I59" s="30"/>
      <c r="J59" s="31"/>
      <c r="K59" s="30"/>
      <c r="L59" s="31"/>
      <c r="M59" s="32"/>
      <c r="N59" s="31"/>
      <c r="O59" s="30">
        <v>0</v>
      </c>
      <c r="P59" s="31"/>
      <c r="Q59" s="30"/>
      <c r="R59" s="31"/>
      <c r="S59" s="30"/>
      <c r="T59" s="31"/>
      <c r="U59" s="32"/>
      <c r="V59" s="31"/>
      <c r="W59" s="33">
        <v>0</v>
      </c>
      <c r="X59" s="33"/>
      <c r="Y59" s="33"/>
      <c r="Z59" s="33"/>
      <c r="AA59" s="33"/>
      <c r="AB59" s="33"/>
      <c r="AC59" s="33"/>
      <c r="AD59" s="34"/>
      <c r="AE59" s="34"/>
      <c r="AF59" s="49"/>
      <c r="AG59" s="50"/>
      <c r="AH59" s="51"/>
      <c r="AI59" s="51"/>
      <c r="AJ59" s="51"/>
      <c r="AK59" s="51"/>
      <c r="AL59" s="51"/>
      <c r="AM59" s="51"/>
      <c r="AN59" s="51">
        <f t="shared" si="40"/>
        <v>1262.1600000000001</v>
      </c>
      <c r="AO59" s="51"/>
      <c r="AP59" s="51">
        <f t="shared" si="41"/>
        <v>315.54000000000002</v>
      </c>
      <c r="AQ59" s="51"/>
      <c r="AR59" s="51"/>
      <c r="AS59" s="51">
        <f t="shared" si="29"/>
        <v>631.08000000000004</v>
      </c>
      <c r="AT59" s="51"/>
      <c r="AU59" s="65"/>
      <c r="AV59" s="54"/>
      <c r="AW59" s="55"/>
      <c r="AX59" s="56">
        <f t="shared" si="31"/>
        <v>1262.1600000000001</v>
      </c>
      <c r="AY59" s="56"/>
      <c r="AZ59" s="54"/>
      <c r="BA59" s="54"/>
      <c r="BB59" s="114"/>
      <c r="BC59" s="60"/>
      <c r="BD59" s="54">
        <f t="shared" si="6"/>
        <v>0</v>
      </c>
      <c r="BE59" s="54"/>
      <c r="BF59" s="54"/>
      <c r="BG59" s="54"/>
      <c r="BH59" s="54"/>
      <c r="BI59" s="54"/>
      <c r="BJ59" s="54"/>
      <c r="BK59" s="54"/>
      <c r="BL59" s="54"/>
      <c r="BM59" s="58">
        <f t="shared" si="39"/>
        <v>0</v>
      </c>
      <c r="BN59" s="58"/>
      <c r="BO59" s="66">
        <v>0</v>
      </c>
      <c r="BP59" s="66"/>
      <c r="BQ59" s="66">
        <f t="shared" si="7"/>
        <v>0</v>
      </c>
      <c r="BR59" s="66"/>
      <c r="BS59" s="66">
        <f t="shared" si="1"/>
        <v>0</v>
      </c>
      <c r="BT59" s="58"/>
      <c r="BU59" s="54">
        <f t="shared" si="42"/>
        <v>0</v>
      </c>
      <c r="BV59" s="58"/>
      <c r="BW59" s="58">
        <f t="shared" si="15"/>
        <v>0</v>
      </c>
      <c r="BX59" s="58"/>
      <c r="BY59" s="91"/>
      <c r="BZ59" s="66">
        <f t="shared" si="32"/>
        <v>0</v>
      </c>
      <c r="CA59" s="66"/>
      <c r="CB59" s="54">
        <f t="shared" si="43"/>
        <v>0</v>
      </c>
      <c r="CC59" s="54"/>
      <c r="CD59" s="54">
        <f t="shared" si="44"/>
        <v>0</v>
      </c>
      <c r="CE59" s="54"/>
      <c r="CF59" s="54">
        <f t="shared" si="45"/>
        <v>0</v>
      </c>
      <c r="CG59" s="60"/>
      <c r="CH59" s="61">
        <f t="shared" si="4"/>
        <v>0</v>
      </c>
      <c r="CI59" s="200"/>
      <c r="CJ59" s="294"/>
    </row>
    <row r="60" spans="1:88" ht="18" hidden="1" customHeight="1" x14ac:dyDescent="0.2">
      <c r="A60" s="4"/>
      <c r="B60" s="27"/>
      <c r="C60" s="28"/>
      <c r="D60" s="28"/>
      <c r="E60" s="29" t="s">
        <v>39</v>
      </c>
      <c r="F60" s="28"/>
      <c r="G60" s="30">
        <v>607.32000000000005</v>
      </c>
      <c r="H60" s="31"/>
      <c r="I60" s="30"/>
      <c r="J60" s="31"/>
      <c r="K60" s="30"/>
      <c r="L60" s="31"/>
      <c r="M60" s="32"/>
      <c r="N60" s="31"/>
      <c r="O60" s="30">
        <v>0</v>
      </c>
      <c r="P60" s="31"/>
      <c r="Q60" s="30"/>
      <c r="R60" s="31"/>
      <c r="S60" s="30"/>
      <c r="T60" s="31"/>
      <c r="U60" s="32"/>
      <c r="V60" s="31"/>
      <c r="W60" s="33">
        <v>0</v>
      </c>
      <c r="X60" s="33"/>
      <c r="Y60" s="33"/>
      <c r="Z60" s="33"/>
      <c r="AA60" s="33"/>
      <c r="AB60" s="33"/>
      <c r="AC60" s="33"/>
      <c r="AD60" s="34"/>
      <c r="AE60" s="34"/>
      <c r="AF60" s="49"/>
      <c r="AG60" s="50"/>
      <c r="AH60" s="51"/>
      <c r="AI60" s="51"/>
      <c r="AJ60" s="51"/>
      <c r="AK60" s="51"/>
      <c r="AL60" s="51"/>
      <c r="AM60" s="51"/>
      <c r="AN60" s="51">
        <f t="shared" si="40"/>
        <v>2429.2800000000002</v>
      </c>
      <c r="AO60" s="51"/>
      <c r="AP60" s="51">
        <f t="shared" si="41"/>
        <v>607.32000000000005</v>
      </c>
      <c r="AQ60" s="51"/>
      <c r="AR60" s="51"/>
      <c r="AS60" s="51">
        <f t="shared" si="29"/>
        <v>1214.6400000000001</v>
      </c>
      <c r="AT60" s="51"/>
      <c r="AU60" s="65"/>
      <c r="AV60" s="54"/>
      <c r="AW60" s="55"/>
      <c r="AX60" s="56">
        <f t="shared" si="31"/>
        <v>2429.2800000000002</v>
      </c>
      <c r="AY60" s="56"/>
      <c r="AZ60" s="54"/>
      <c r="BA60" s="54"/>
      <c r="BB60" s="114"/>
      <c r="BC60" s="60"/>
      <c r="BD60" s="54">
        <f t="shared" si="6"/>
        <v>0</v>
      </c>
      <c r="BE60" s="54"/>
      <c r="BF60" s="54"/>
      <c r="BG60" s="54"/>
      <c r="BH60" s="54"/>
      <c r="BI60" s="54"/>
      <c r="BJ60" s="54"/>
      <c r="BK60" s="54"/>
      <c r="BL60" s="54"/>
      <c r="BM60" s="58">
        <f t="shared" si="39"/>
        <v>0</v>
      </c>
      <c r="BN60" s="58"/>
      <c r="BO60" s="66">
        <v>75</v>
      </c>
      <c r="BP60" s="66"/>
      <c r="BQ60" s="66">
        <f t="shared" si="7"/>
        <v>150</v>
      </c>
      <c r="BR60" s="66"/>
      <c r="BS60" s="66">
        <f t="shared" si="1"/>
        <v>150</v>
      </c>
      <c r="BT60" s="58"/>
      <c r="BU60" s="54">
        <f t="shared" si="42"/>
        <v>0</v>
      </c>
      <c r="BV60" s="58"/>
      <c r="BW60" s="58">
        <f t="shared" si="15"/>
        <v>0</v>
      </c>
      <c r="BX60" s="58"/>
      <c r="BY60" s="91"/>
      <c r="BZ60" s="66">
        <f t="shared" si="32"/>
        <v>0</v>
      </c>
      <c r="CA60" s="66"/>
      <c r="CB60" s="54">
        <f t="shared" si="43"/>
        <v>75</v>
      </c>
      <c r="CC60" s="54"/>
      <c r="CD60" s="54">
        <f t="shared" si="44"/>
        <v>0</v>
      </c>
      <c r="CE60" s="54"/>
      <c r="CF60" s="54">
        <f t="shared" si="45"/>
        <v>-150</v>
      </c>
      <c r="CG60" s="60"/>
      <c r="CH60" s="61">
        <f t="shared" si="4"/>
        <v>-225</v>
      </c>
      <c r="CI60" s="200"/>
      <c r="CJ60" s="294"/>
    </row>
    <row r="61" spans="1:88" ht="18" hidden="1" customHeight="1" thickBot="1" x14ac:dyDescent="0.25">
      <c r="A61" s="4"/>
      <c r="B61" s="27"/>
      <c r="C61" s="28"/>
      <c r="D61" s="28"/>
      <c r="E61" s="29" t="s">
        <v>40</v>
      </c>
      <c r="F61" s="28"/>
      <c r="G61" s="68">
        <v>5757.88</v>
      </c>
      <c r="H61" s="31"/>
      <c r="I61" s="68">
        <v>11250</v>
      </c>
      <c r="J61" s="31"/>
      <c r="K61" s="68">
        <f>ROUND((G61-I61),5)</f>
        <v>-5492.12</v>
      </c>
      <c r="L61" s="31"/>
      <c r="M61" s="69">
        <f>ROUND(IF(I61=0, IF(G61=0, 0, 1), G61/I61),5)</f>
        <v>0.51180999999999999</v>
      </c>
      <c r="N61" s="31"/>
      <c r="O61" s="68">
        <v>11103.97</v>
      </c>
      <c r="P61" s="31"/>
      <c r="Q61" s="68">
        <v>11250</v>
      </c>
      <c r="R61" s="31"/>
      <c r="S61" s="68">
        <f>ROUND((O61-Q61),5)</f>
        <v>-146.03</v>
      </c>
      <c r="T61" s="31"/>
      <c r="U61" s="69">
        <f>ROUND(IF(Q61=0, IF(O61=0, 0, 1), O61/Q61),5)</f>
        <v>0.98702000000000001</v>
      </c>
      <c r="V61" s="31"/>
      <c r="W61" s="70">
        <v>14647.7</v>
      </c>
      <c r="X61" s="33"/>
      <c r="Y61" s="70">
        <v>11250</v>
      </c>
      <c r="Z61" s="33"/>
      <c r="AA61" s="70">
        <f>ROUND((W61-Y61),5)</f>
        <v>3397.7</v>
      </c>
      <c r="AB61" s="33"/>
      <c r="AC61" s="33"/>
      <c r="AD61" s="34"/>
      <c r="AE61" s="34"/>
      <c r="AF61" s="49"/>
      <c r="AG61" s="50"/>
      <c r="AH61" s="51"/>
      <c r="AI61" s="51"/>
      <c r="AJ61" s="51"/>
      <c r="AK61" s="51"/>
      <c r="AL61" s="51"/>
      <c r="AM61" s="51"/>
      <c r="AN61" s="51">
        <f t="shared" si="40"/>
        <v>126038.2</v>
      </c>
      <c r="AO61" s="51"/>
      <c r="AP61" s="51">
        <f t="shared" si="41"/>
        <v>31509.55</v>
      </c>
      <c r="AQ61" s="51"/>
      <c r="AR61" s="51">
        <f>ROUND(I61+Q61+Y61,5)</f>
        <v>33750</v>
      </c>
      <c r="AS61" s="51">
        <f t="shared" si="29"/>
        <v>63019.1</v>
      </c>
      <c r="AT61" s="51"/>
      <c r="AU61" s="65"/>
      <c r="AV61" s="54"/>
      <c r="AW61" s="55"/>
      <c r="AX61" s="56">
        <f t="shared" si="31"/>
        <v>126038.2</v>
      </c>
      <c r="AY61" s="56"/>
      <c r="AZ61" s="54"/>
      <c r="BA61" s="54"/>
      <c r="BB61" s="114"/>
      <c r="BC61" s="60"/>
      <c r="BD61" s="54">
        <f t="shared" si="6"/>
        <v>0</v>
      </c>
      <c r="BE61" s="54"/>
      <c r="BF61" s="54"/>
      <c r="BG61" s="54"/>
      <c r="BH61" s="54"/>
      <c r="BI61" s="54"/>
      <c r="BJ61" s="54"/>
      <c r="BK61" s="54"/>
      <c r="BL61" s="54"/>
      <c r="BM61" s="58">
        <f t="shared" si="39"/>
        <v>0</v>
      </c>
      <c r="BN61" s="58"/>
      <c r="BO61" s="66">
        <v>10946.86</v>
      </c>
      <c r="BP61" s="66"/>
      <c r="BQ61" s="66">
        <f t="shared" si="7"/>
        <v>21893.72</v>
      </c>
      <c r="BR61" s="66"/>
      <c r="BS61" s="66">
        <f t="shared" si="1"/>
        <v>21893.72</v>
      </c>
      <c r="BT61" s="58"/>
      <c r="BU61" s="54">
        <f t="shared" si="42"/>
        <v>0</v>
      </c>
      <c r="BV61" s="58"/>
      <c r="BW61" s="58">
        <f t="shared" si="15"/>
        <v>0</v>
      </c>
      <c r="BX61" s="58"/>
      <c r="BY61" s="91"/>
      <c r="BZ61" s="66">
        <f t="shared" si="32"/>
        <v>0</v>
      </c>
      <c r="CA61" s="66"/>
      <c r="CB61" s="54">
        <f t="shared" si="43"/>
        <v>10946.86</v>
      </c>
      <c r="CC61" s="54"/>
      <c r="CD61" s="54">
        <f t="shared" si="44"/>
        <v>0</v>
      </c>
      <c r="CE61" s="54"/>
      <c r="CF61" s="54">
        <f t="shared" si="45"/>
        <v>-21893.72</v>
      </c>
      <c r="CG61" s="60"/>
      <c r="CH61" s="61">
        <f t="shared" si="4"/>
        <v>-32840.58</v>
      </c>
      <c r="CI61" s="200"/>
      <c r="CJ61" s="294"/>
    </row>
    <row r="62" spans="1:88" ht="14.25" hidden="1" customHeight="1" x14ac:dyDescent="0.2">
      <c r="A62" s="4"/>
      <c r="B62" s="27"/>
      <c r="C62" s="28"/>
      <c r="D62" s="28" t="s">
        <v>29</v>
      </c>
      <c r="E62" s="29"/>
      <c r="F62" s="28"/>
      <c r="G62" s="30">
        <f>ROUND(SUM(G51:G61),5)</f>
        <v>9740.44</v>
      </c>
      <c r="H62" s="31"/>
      <c r="I62" s="30">
        <f>ROUND(SUM(I51:I61),5)</f>
        <v>11250</v>
      </c>
      <c r="J62" s="31"/>
      <c r="K62" s="30">
        <f>ROUND((G62-I62),5)</f>
        <v>-1509.56</v>
      </c>
      <c r="L62" s="31"/>
      <c r="M62" s="32">
        <f>ROUND(IF(I62=0, IF(G62=0, 0, 1), G62/I62),5)</f>
        <v>0.86582000000000003</v>
      </c>
      <c r="N62" s="31"/>
      <c r="O62" s="30">
        <f>ROUND(SUM(O51:O61),5)</f>
        <v>11103.97</v>
      </c>
      <c r="P62" s="31"/>
      <c r="Q62" s="30">
        <f>ROUND(SUM(Q51:Q61),5)</f>
        <v>11250</v>
      </c>
      <c r="R62" s="31"/>
      <c r="S62" s="30">
        <f>ROUND((O62-Q62),5)</f>
        <v>-146.03</v>
      </c>
      <c r="T62" s="31"/>
      <c r="U62" s="32">
        <f>ROUND(IF(Q62=0, IF(O62=0, 0, 1), O62/Q62),5)</f>
        <v>0.98702000000000001</v>
      </c>
      <c r="V62" s="31"/>
      <c r="W62" s="33">
        <f>ROUND(SUM(W51:W61),5)</f>
        <v>14647.7</v>
      </c>
      <c r="X62" s="33"/>
      <c r="Y62" s="33">
        <f>ROUND(SUM(Y51:Y61),5)</f>
        <v>11250</v>
      </c>
      <c r="Z62" s="33"/>
      <c r="AA62" s="33">
        <f>ROUND((W62-Y62),5)</f>
        <v>3397.7</v>
      </c>
      <c r="AB62" s="33"/>
      <c r="AC62" s="33"/>
      <c r="AD62" s="34"/>
      <c r="AE62" s="34"/>
      <c r="AF62" s="49"/>
      <c r="AG62" s="50"/>
      <c r="AH62" s="51"/>
      <c r="AI62" s="51"/>
      <c r="AJ62" s="51">
        <v>136169.98000000001</v>
      </c>
      <c r="AK62" s="51"/>
      <c r="AL62" s="51">
        <v>135000</v>
      </c>
      <c r="AM62" s="51"/>
      <c r="AN62" s="51">
        <v>147949.18</v>
      </c>
      <c r="AO62" s="51"/>
      <c r="AP62" s="51">
        <v>64808.01</v>
      </c>
      <c r="AQ62" s="51"/>
      <c r="AR62" s="51">
        <f>ROUND(I62+Q62+Y62,5)</f>
        <v>33750</v>
      </c>
      <c r="AS62" s="51">
        <f t="shared" si="29"/>
        <v>129616.02</v>
      </c>
      <c r="AT62" s="51"/>
      <c r="AU62" s="65"/>
      <c r="AV62" s="54">
        <v>135000</v>
      </c>
      <c r="AW62" s="55"/>
      <c r="AX62" s="56">
        <f t="shared" si="31"/>
        <v>12949.179999999993</v>
      </c>
      <c r="AY62" s="56"/>
      <c r="AZ62" s="54">
        <v>53844.28</v>
      </c>
      <c r="BA62" s="54"/>
      <c r="BB62" s="114"/>
      <c r="BC62" s="60"/>
      <c r="BD62" s="54">
        <v>137769.35999999999</v>
      </c>
      <c r="BE62" s="54"/>
      <c r="BF62" s="54"/>
      <c r="BG62" s="54">
        <v>135000</v>
      </c>
      <c r="BH62" s="54"/>
      <c r="BI62" s="54">
        <v>147382.88</v>
      </c>
      <c r="BJ62" s="54"/>
      <c r="BK62" s="54">
        <v>135000</v>
      </c>
      <c r="BL62" s="54"/>
      <c r="BM62" s="58">
        <f t="shared" si="39"/>
        <v>0</v>
      </c>
      <c r="BN62" s="58"/>
      <c r="BO62" s="66">
        <v>65102.89</v>
      </c>
      <c r="BP62" s="66"/>
      <c r="BQ62" s="66">
        <f t="shared" si="7"/>
        <v>130205.78</v>
      </c>
      <c r="BR62" s="66"/>
      <c r="BS62" s="66">
        <f t="shared" si="1"/>
        <v>-4794.2200000000012</v>
      </c>
      <c r="BT62" s="58"/>
      <c r="BU62" s="54">
        <v>135000</v>
      </c>
      <c r="BV62" s="58"/>
      <c r="BW62" s="58">
        <f t="shared" si="15"/>
        <v>0</v>
      </c>
      <c r="BX62" s="58"/>
      <c r="BY62" s="91" t="s">
        <v>264</v>
      </c>
      <c r="BZ62" s="66">
        <f t="shared" si="32"/>
        <v>0</v>
      </c>
      <c r="CA62" s="66"/>
      <c r="CB62" s="54">
        <v>135000</v>
      </c>
      <c r="CC62" s="54"/>
      <c r="CD62" s="54">
        <v>135000</v>
      </c>
      <c r="CE62" s="54"/>
      <c r="CF62" s="54">
        <v>135000</v>
      </c>
      <c r="CG62" s="60"/>
      <c r="CH62" s="61">
        <f t="shared" si="4"/>
        <v>0</v>
      </c>
      <c r="CI62" s="200"/>
      <c r="CJ62" s="294"/>
    </row>
    <row r="63" spans="1:88" ht="18" hidden="1" customHeight="1" x14ac:dyDescent="0.2">
      <c r="A63" s="4"/>
      <c r="B63" s="27"/>
      <c r="C63" s="28"/>
      <c r="D63" s="28"/>
      <c r="E63" s="29" t="s">
        <v>42</v>
      </c>
      <c r="F63" s="28"/>
      <c r="G63" s="30">
        <v>850.16</v>
      </c>
      <c r="H63" s="31"/>
      <c r="I63" s="30"/>
      <c r="J63" s="31"/>
      <c r="K63" s="30"/>
      <c r="L63" s="31"/>
      <c r="M63" s="32"/>
      <c r="N63" s="31"/>
      <c r="O63" s="30">
        <v>0</v>
      </c>
      <c r="P63" s="31"/>
      <c r="Q63" s="30"/>
      <c r="R63" s="31"/>
      <c r="S63" s="30"/>
      <c r="T63" s="31"/>
      <c r="U63" s="32"/>
      <c r="V63" s="31"/>
      <c r="W63" s="33">
        <v>0</v>
      </c>
      <c r="X63" s="33"/>
      <c r="Y63" s="33"/>
      <c r="Z63" s="33"/>
      <c r="AA63" s="33"/>
      <c r="AB63" s="33"/>
      <c r="AC63" s="33"/>
      <c r="AD63" s="34"/>
      <c r="AE63" s="34"/>
      <c r="AF63" s="49"/>
      <c r="AG63" s="50"/>
      <c r="AH63" s="51"/>
      <c r="AI63" s="51"/>
      <c r="AJ63" s="51"/>
      <c r="AK63" s="51"/>
      <c r="AL63" s="51"/>
      <c r="AM63" s="51"/>
      <c r="AN63" s="51">
        <f t="shared" ref="AN63:AN69" si="46">AP63*4</f>
        <v>3400.64</v>
      </c>
      <c r="AO63" s="51"/>
      <c r="AP63" s="51">
        <f t="shared" si="41"/>
        <v>850.16</v>
      </c>
      <c r="AQ63" s="51"/>
      <c r="AR63" s="51"/>
      <c r="AS63" s="51">
        <f t="shared" si="29"/>
        <v>1700.32</v>
      </c>
      <c r="AT63" s="51"/>
      <c r="AU63" s="65"/>
      <c r="AV63" s="54"/>
      <c r="AW63" s="55"/>
      <c r="AX63" s="56">
        <f t="shared" si="31"/>
        <v>3400.64</v>
      </c>
      <c r="AY63" s="56"/>
      <c r="AZ63" s="54"/>
      <c r="BA63" s="54"/>
      <c r="BB63" s="114"/>
      <c r="BC63" s="60"/>
      <c r="BD63" s="54">
        <f t="shared" si="6"/>
        <v>0</v>
      </c>
      <c r="BE63" s="54"/>
      <c r="BF63" s="54"/>
      <c r="BG63" s="54"/>
      <c r="BH63" s="54"/>
      <c r="BI63" s="54"/>
      <c r="BJ63" s="54"/>
      <c r="BK63" s="54"/>
      <c r="BL63" s="54"/>
      <c r="BM63" s="58">
        <f t="shared" si="39"/>
        <v>0</v>
      </c>
      <c r="BN63" s="58"/>
      <c r="BO63" s="66">
        <v>5779.74</v>
      </c>
      <c r="BP63" s="66"/>
      <c r="BQ63" s="66">
        <f t="shared" si="7"/>
        <v>11559.48</v>
      </c>
      <c r="BR63" s="66"/>
      <c r="BS63" s="66">
        <f t="shared" si="1"/>
        <v>11559.48</v>
      </c>
      <c r="BT63" s="58"/>
      <c r="BU63" s="54">
        <f t="shared" ref="BU63:BU69" si="47">BM63-BI63</f>
        <v>0</v>
      </c>
      <c r="BV63" s="58"/>
      <c r="BW63" s="58">
        <f t="shared" si="15"/>
        <v>0</v>
      </c>
      <c r="BX63" s="58"/>
      <c r="BY63" s="91"/>
      <c r="BZ63" s="66">
        <f t="shared" si="32"/>
        <v>0</v>
      </c>
      <c r="CA63" s="66"/>
      <c r="CB63" s="54">
        <f t="shared" ref="CB63:CB69" si="48">BS63-BO63</f>
        <v>5779.74</v>
      </c>
      <c r="CC63" s="54"/>
      <c r="CD63" s="54">
        <f t="shared" ref="CD63:CD69" si="49">BT63-BP63</f>
        <v>0</v>
      </c>
      <c r="CE63" s="54"/>
      <c r="CF63" s="54">
        <f t="shared" ref="CF63:CF69" si="50">BU63-BQ63</f>
        <v>-11559.48</v>
      </c>
      <c r="CG63" s="60"/>
      <c r="CH63" s="61">
        <f t="shared" si="4"/>
        <v>-17339.22</v>
      </c>
      <c r="CI63" s="200"/>
      <c r="CJ63" s="294"/>
    </row>
    <row r="64" spans="1:88" ht="18" hidden="1" customHeight="1" x14ac:dyDescent="0.2">
      <c r="A64" s="4"/>
      <c r="B64" s="27"/>
      <c r="C64" s="28"/>
      <c r="D64" s="28"/>
      <c r="E64" s="29" t="s">
        <v>43</v>
      </c>
      <c r="F64" s="28"/>
      <c r="G64" s="30">
        <v>417.15</v>
      </c>
      <c r="H64" s="31"/>
      <c r="I64" s="30"/>
      <c r="J64" s="31"/>
      <c r="K64" s="30"/>
      <c r="L64" s="31"/>
      <c r="M64" s="32"/>
      <c r="N64" s="31"/>
      <c r="O64" s="30">
        <v>0</v>
      </c>
      <c r="P64" s="31"/>
      <c r="Q64" s="30"/>
      <c r="R64" s="31"/>
      <c r="S64" s="30"/>
      <c r="T64" s="31"/>
      <c r="U64" s="32"/>
      <c r="V64" s="31"/>
      <c r="W64" s="33">
        <v>0</v>
      </c>
      <c r="X64" s="33"/>
      <c r="Y64" s="33"/>
      <c r="Z64" s="33"/>
      <c r="AA64" s="33"/>
      <c r="AB64" s="33"/>
      <c r="AC64" s="33"/>
      <c r="AD64" s="34"/>
      <c r="AE64" s="34"/>
      <c r="AF64" s="49"/>
      <c r="AG64" s="50"/>
      <c r="AH64" s="51"/>
      <c r="AI64" s="51"/>
      <c r="AJ64" s="51"/>
      <c r="AK64" s="51"/>
      <c r="AL64" s="51"/>
      <c r="AM64" s="51"/>
      <c r="AN64" s="51">
        <f t="shared" si="46"/>
        <v>1668.6</v>
      </c>
      <c r="AO64" s="51"/>
      <c r="AP64" s="51">
        <f t="shared" si="41"/>
        <v>417.15</v>
      </c>
      <c r="AQ64" s="51"/>
      <c r="AR64" s="51"/>
      <c r="AS64" s="51">
        <f t="shared" si="29"/>
        <v>834.3</v>
      </c>
      <c r="AT64" s="51"/>
      <c r="AU64" s="65"/>
      <c r="AV64" s="54"/>
      <c r="AW64" s="55"/>
      <c r="AX64" s="56">
        <f t="shared" si="31"/>
        <v>1668.6</v>
      </c>
      <c r="AY64" s="56"/>
      <c r="AZ64" s="54"/>
      <c r="BA64" s="54"/>
      <c r="BB64" s="114"/>
      <c r="BC64" s="60"/>
      <c r="BD64" s="54">
        <f t="shared" si="6"/>
        <v>0</v>
      </c>
      <c r="BE64" s="54"/>
      <c r="BF64" s="54"/>
      <c r="BG64" s="54"/>
      <c r="BH64" s="54"/>
      <c r="BI64" s="54"/>
      <c r="BJ64" s="54"/>
      <c r="BK64" s="54"/>
      <c r="BL64" s="54"/>
      <c r="BM64" s="58">
        <f t="shared" si="39"/>
        <v>0</v>
      </c>
      <c r="BN64" s="58"/>
      <c r="BO64" s="66">
        <v>278.20999999999998</v>
      </c>
      <c r="BP64" s="66"/>
      <c r="BQ64" s="66">
        <f t="shared" si="7"/>
        <v>556.41999999999996</v>
      </c>
      <c r="BR64" s="66"/>
      <c r="BS64" s="66">
        <f t="shared" si="1"/>
        <v>556.41999999999996</v>
      </c>
      <c r="BT64" s="58"/>
      <c r="BU64" s="54">
        <f t="shared" si="47"/>
        <v>0</v>
      </c>
      <c r="BV64" s="58"/>
      <c r="BW64" s="58">
        <f t="shared" si="15"/>
        <v>0</v>
      </c>
      <c r="BX64" s="58"/>
      <c r="BY64" s="91"/>
      <c r="BZ64" s="66">
        <f t="shared" si="32"/>
        <v>0</v>
      </c>
      <c r="CA64" s="66"/>
      <c r="CB64" s="54">
        <f t="shared" si="48"/>
        <v>278.20999999999998</v>
      </c>
      <c r="CC64" s="54"/>
      <c r="CD64" s="54">
        <f t="shared" si="49"/>
        <v>0</v>
      </c>
      <c r="CE64" s="54"/>
      <c r="CF64" s="54">
        <f t="shared" si="50"/>
        <v>-556.41999999999996</v>
      </c>
      <c r="CG64" s="60"/>
      <c r="CH64" s="61">
        <f t="shared" si="4"/>
        <v>-834.62999999999988</v>
      </c>
      <c r="CI64" s="200"/>
      <c r="CJ64" s="294"/>
    </row>
    <row r="65" spans="1:88" ht="18" hidden="1" customHeight="1" x14ac:dyDescent="0.2">
      <c r="A65" s="4"/>
      <c r="B65" s="27"/>
      <c r="C65" s="28"/>
      <c r="D65" s="28"/>
      <c r="E65" s="29" t="s">
        <v>44</v>
      </c>
      <c r="F65" s="28"/>
      <c r="G65" s="30">
        <v>793.1</v>
      </c>
      <c r="H65" s="31"/>
      <c r="I65" s="30"/>
      <c r="J65" s="31"/>
      <c r="K65" s="30"/>
      <c r="L65" s="31"/>
      <c r="M65" s="32"/>
      <c r="N65" s="31"/>
      <c r="O65" s="30">
        <v>0</v>
      </c>
      <c r="P65" s="31"/>
      <c r="Q65" s="30"/>
      <c r="R65" s="31"/>
      <c r="S65" s="30"/>
      <c r="T65" s="31"/>
      <c r="U65" s="32"/>
      <c r="V65" s="31"/>
      <c r="W65" s="33">
        <v>0</v>
      </c>
      <c r="X65" s="33"/>
      <c r="Y65" s="33"/>
      <c r="Z65" s="33"/>
      <c r="AA65" s="33"/>
      <c r="AB65" s="33"/>
      <c r="AC65" s="33"/>
      <c r="AD65" s="34"/>
      <c r="AE65" s="34"/>
      <c r="AF65" s="49"/>
      <c r="AG65" s="50"/>
      <c r="AH65" s="51"/>
      <c r="AI65" s="51"/>
      <c r="AJ65" s="51"/>
      <c r="AK65" s="51"/>
      <c r="AL65" s="51"/>
      <c r="AM65" s="51"/>
      <c r="AN65" s="51">
        <f t="shared" si="46"/>
        <v>3172.4</v>
      </c>
      <c r="AO65" s="51"/>
      <c r="AP65" s="51">
        <f t="shared" si="41"/>
        <v>793.1</v>
      </c>
      <c r="AQ65" s="51"/>
      <c r="AR65" s="51"/>
      <c r="AS65" s="51">
        <f t="shared" si="29"/>
        <v>1586.2</v>
      </c>
      <c r="AT65" s="51"/>
      <c r="AU65" s="65"/>
      <c r="AV65" s="54"/>
      <c r="AW65" s="55"/>
      <c r="AX65" s="56">
        <f t="shared" si="31"/>
        <v>3172.4</v>
      </c>
      <c r="AY65" s="56"/>
      <c r="AZ65" s="54"/>
      <c r="BA65" s="54"/>
      <c r="BB65" s="114"/>
      <c r="BC65" s="60"/>
      <c r="BD65" s="54">
        <f t="shared" si="6"/>
        <v>0</v>
      </c>
      <c r="BE65" s="54"/>
      <c r="BF65" s="54"/>
      <c r="BG65" s="54"/>
      <c r="BH65" s="54"/>
      <c r="BI65" s="54"/>
      <c r="BJ65" s="54"/>
      <c r="BK65" s="54"/>
      <c r="BL65" s="54"/>
      <c r="BM65" s="58">
        <f t="shared" si="39"/>
        <v>0</v>
      </c>
      <c r="BN65" s="58"/>
      <c r="BO65" s="66">
        <v>0</v>
      </c>
      <c r="BP65" s="66"/>
      <c r="BQ65" s="66">
        <f t="shared" si="7"/>
        <v>0</v>
      </c>
      <c r="BR65" s="66"/>
      <c r="BS65" s="66">
        <f t="shared" si="1"/>
        <v>0</v>
      </c>
      <c r="BT65" s="58"/>
      <c r="BU65" s="54">
        <f t="shared" si="47"/>
        <v>0</v>
      </c>
      <c r="BV65" s="58"/>
      <c r="BW65" s="58">
        <f t="shared" si="15"/>
        <v>0</v>
      </c>
      <c r="BX65" s="58"/>
      <c r="BY65" s="91"/>
      <c r="BZ65" s="66">
        <f t="shared" si="32"/>
        <v>0</v>
      </c>
      <c r="CA65" s="66"/>
      <c r="CB65" s="54">
        <f t="shared" si="48"/>
        <v>0</v>
      </c>
      <c r="CC65" s="54"/>
      <c r="CD65" s="54">
        <f t="shared" si="49"/>
        <v>0</v>
      </c>
      <c r="CE65" s="54"/>
      <c r="CF65" s="54">
        <f t="shared" si="50"/>
        <v>0</v>
      </c>
      <c r="CG65" s="60"/>
      <c r="CH65" s="61">
        <f t="shared" si="4"/>
        <v>0</v>
      </c>
      <c r="CI65" s="200"/>
      <c r="CJ65" s="294"/>
    </row>
    <row r="66" spans="1:88" ht="18" hidden="1" customHeight="1" x14ac:dyDescent="0.2">
      <c r="A66" s="4"/>
      <c r="B66" s="27"/>
      <c r="C66" s="28"/>
      <c r="D66" s="28"/>
      <c r="E66" s="29" t="s">
        <v>45</v>
      </c>
      <c r="F66" s="28"/>
      <c r="G66" s="30">
        <v>448.15</v>
      </c>
      <c r="H66" s="31"/>
      <c r="I66" s="30"/>
      <c r="J66" s="31"/>
      <c r="K66" s="30"/>
      <c r="L66" s="31"/>
      <c r="M66" s="32"/>
      <c r="N66" s="31"/>
      <c r="O66" s="30">
        <v>0</v>
      </c>
      <c r="P66" s="31"/>
      <c r="Q66" s="30"/>
      <c r="R66" s="31"/>
      <c r="S66" s="30"/>
      <c r="T66" s="31"/>
      <c r="U66" s="32"/>
      <c r="V66" s="31"/>
      <c r="W66" s="33">
        <v>0</v>
      </c>
      <c r="X66" s="33"/>
      <c r="Y66" s="33"/>
      <c r="Z66" s="33"/>
      <c r="AA66" s="33"/>
      <c r="AB66" s="33"/>
      <c r="AC66" s="33"/>
      <c r="AD66" s="34"/>
      <c r="AE66" s="34"/>
      <c r="AF66" s="49"/>
      <c r="AG66" s="50"/>
      <c r="AH66" s="51"/>
      <c r="AI66" s="51"/>
      <c r="AJ66" s="51"/>
      <c r="AK66" s="51"/>
      <c r="AL66" s="51"/>
      <c r="AM66" s="51"/>
      <c r="AN66" s="51">
        <f t="shared" si="46"/>
        <v>1792.6</v>
      </c>
      <c r="AO66" s="51"/>
      <c r="AP66" s="51">
        <f t="shared" si="41"/>
        <v>448.15</v>
      </c>
      <c r="AQ66" s="51"/>
      <c r="AR66" s="51"/>
      <c r="AS66" s="51">
        <f t="shared" si="29"/>
        <v>896.3</v>
      </c>
      <c r="AT66" s="51"/>
      <c r="AU66" s="65"/>
      <c r="AV66" s="54"/>
      <c r="AW66" s="55"/>
      <c r="AX66" s="56">
        <f t="shared" si="31"/>
        <v>1792.6</v>
      </c>
      <c r="AY66" s="56"/>
      <c r="AZ66" s="54"/>
      <c r="BA66" s="54"/>
      <c r="BB66" s="114"/>
      <c r="BC66" s="60"/>
      <c r="BD66" s="54">
        <f t="shared" si="6"/>
        <v>0</v>
      </c>
      <c r="BE66" s="54"/>
      <c r="BF66" s="54"/>
      <c r="BG66" s="54"/>
      <c r="BH66" s="54"/>
      <c r="BI66" s="54"/>
      <c r="BJ66" s="54"/>
      <c r="BK66" s="54"/>
      <c r="BL66" s="54"/>
      <c r="BM66" s="58">
        <f t="shared" si="39"/>
        <v>0</v>
      </c>
      <c r="BN66" s="58"/>
      <c r="BO66" s="66">
        <v>6057.95</v>
      </c>
      <c r="BP66" s="66"/>
      <c r="BQ66" s="66">
        <f t="shared" si="7"/>
        <v>12115.9</v>
      </c>
      <c r="BR66" s="66"/>
      <c r="BS66" s="66">
        <f t="shared" ref="BS66:BS127" si="51">BQ66-BK66</f>
        <v>12115.9</v>
      </c>
      <c r="BT66" s="58"/>
      <c r="BU66" s="54">
        <f t="shared" si="47"/>
        <v>0</v>
      </c>
      <c r="BV66" s="58"/>
      <c r="BW66" s="58">
        <f t="shared" si="15"/>
        <v>0</v>
      </c>
      <c r="BX66" s="58"/>
      <c r="BY66" s="91"/>
      <c r="BZ66" s="66">
        <f t="shared" si="32"/>
        <v>0</v>
      </c>
      <c r="CA66" s="66"/>
      <c r="CB66" s="54">
        <f t="shared" si="48"/>
        <v>6057.95</v>
      </c>
      <c r="CC66" s="54"/>
      <c r="CD66" s="54">
        <f t="shared" si="49"/>
        <v>0</v>
      </c>
      <c r="CE66" s="54"/>
      <c r="CF66" s="54">
        <f t="shared" si="50"/>
        <v>-12115.9</v>
      </c>
      <c r="CG66" s="60"/>
      <c r="CH66" s="61">
        <f t="shared" si="4"/>
        <v>-18173.849999999999</v>
      </c>
      <c r="CI66" s="200"/>
      <c r="CJ66" s="294"/>
    </row>
    <row r="67" spans="1:88" ht="18" hidden="1" customHeight="1" x14ac:dyDescent="0.2">
      <c r="A67" s="4"/>
      <c r="B67" s="27"/>
      <c r="C67" s="28"/>
      <c r="D67" s="28"/>
      <c r="E67" s="29" t="s">
        <v>46</v>
      </c>
      <c r="F67" s="28"/>
      <c r="G67" s="30">
        <v>489.58</v>
      </c>
      <c r="H67" s="31"/>
      <c r="I67" s="30"/>
      <c r="J67" s="31"/>
      <c r="K67" s="30"/>
      <c r="L67" s="31"/>
      <c r="M67" s="32"/>
      <c r="N67" s="31"/>
      <c r="O67" s="30">
        <v>0</v>
      </c>
      <c r="P67" s="31"/>
      <c r="Q67" s="30"/>
      <c r="R67" s="31"/>
      <c r="S67" s="30"/>
      <c r="T67" s="31"/>
      <c r="U67" s="32"/>
      <c r="V67" s="31"/>
      <c r="W67" s="33">
        <v>0</v>
      </c>
      <c r="X67" s="33"/>
      <c r="Y67" s="33"/>
      <c r="Z67" s="33"/>
      <c r="AA67" s="33"/>
      <c r="AB67" s="33"/>
      <c r="AC67" s="33"/>
      <c r="AD67" s="34"/>
      <c r="AE67" s="34"/>
      <c r="AF67" s="49"/>
      <c r="AG67" s="50"/>
      <c r="AH67" s="51"/>
      <c r="AI67" s="51"/>
      <c r="AJ67" s="51"/>
      <c r="AK67" s="51"/>
      <c r="AL67" s="51"/>
      <c r="AM67" s="51"/>
      <c r="AN67" s="51">
        <f t="shared" si="46"/>
        <v>1958.32</v>
      </c>
      <c r="AO67" s="51"/>
      <c r="AP67" s="51">
        <f t="shared" si="41"/>
        <v>489.58</v>
      </c>
      <c r="AQ67" s="51"/>
      <c r="AR67" s="51"/>
      <c r="AS67" s="51">
        <f t="shared" si="29"/>
        <v>979.16</v>
      </c>
      <c r="AT67" s="51"/>
      <c r="AU67" s="65"/>
      <c r="AV67" s="54"/>
      <c r="AW67" s="55"/>
      <c r="AX67" s="56">
        <f t="shared" si="31"/>
        <v>1958.32</v>
      </c>
      <c r="AY67" s="56"/>
      <c r="AZ67" s="54"/>
      <c r="BA67" s="54"/>
      <c r="BB67" s="114"/>
      <c r="BC67" s="60"/>
      <c r="BD67" s="54">
        <f t="shared" si="6"/>
        <v>0</v>
      </c>
      <c r="BE67" s="54"/>
      <c r="BF67" s="54"/>
      <c r="BG67" s="54"/>
      <c r="BH67" s="54"/>
      <c r="BI67" s="54"/>
      <c r="BJ67" s="54"/>
      <c r="BK67" s="54"/>
      <c r="BL67" s="54"/>
      <c r="BM67" s="58">
        <f t="shared" si="39"/>
        <v>0</v>
      </c>
      <c r="BN67" s="58"/>
      <c r="BO67" s="66">
        <v>7774.91</v>
      </c>
      <c r="BP67" s="66"/>
      <c r="BQ67" s="66">
        <f t="shared" si="7"/>
        <v>15549.82</v>
      </c>
      <c r="BR67" s="66"/>
      <c r="BS67" s="66">
        <f t="shared" si="51"/>
        <v>15549.82</v>
      </c>
      <c r="BT67" s="58"/>
      <c r="BU67" s="54">
        <f t="shared" si="47"/>
        <v>0</v>
      </c>
      <c r="BV67" s="58"/>
      <c r="BW67" s="58">
        <f t="shared" si="15"/>
        <v>0</v>
      </c>
      <c r="BX67" s="58"/>
      <c r="BY67" s="91"/>
      <c r="BZ67" s="66">
        <f t="shared" si="32"/>
        <v>0</v>
      </c>
      <c r="CA67" s="66"/>
      <c r="CB67" s="54">
        <f t="shared" si="48"/>
        <v>7774.91</v>
      </c>
      <c r="CC67" s="54"/>
      <c r="CD67" s="54">
        <f t="shared" si="49"/>
        <v>0</v>
      </c>
      <c r="CE67" s="54"/>
      <c r="CF67" s="54">
        <f t="shared" si="50"/>
        <v>-15549.82</v>
      </c>
      <c r="CG67" s="60"/>
      <c r="CH67" s="61">
        <f t="shared" si="4"/>
        <v>-23324.73</v>
      </c>
      <c r="CI67" s="200"/>
      <c r="CJ67" s="294"/>
    </row>
    <row r="68" spans="1:88" ht="18" hidden="1" customHeight="1" x14ac:dyDescent="0.2">
      <c r="A68" s="4"/>
      <c r="B68" s="27"/>
      <c r="C68" s="28"/>
      <c r="D68" s="28"/>
      <c r="E68" s="29" t="s">
        <v>47</v>
      </c>
      <c r="F68" s="28"/>
      <c r="G68" s="30">
        <v>2740.52</v>
      </c>
      <c r="H68" s="31"/>
      <c r="I68" s="30"/>
      <c r="J68" s="31"/>
      <c r="K68" s="30"/>
      <c r="L68" s="31"/>
      <c r="M68" s="32"/>
      <c r="N68" s="31"/>
      <c r="O68" s="30">
        <v>0</v>
      </c>
      <c r="P68" s="31"/>
      <c r="Q68" s="30"/>
      <c r="R68" s="31"/>
      <c r="S68" s="30"/>
      <c r="T68" s="31"/>
      <c r="U68" s="32"/>
      <c r="V68" s="31"/>
      <c r="W68" s="33">
        <v>0</v>
      </c>
      <c r="X68" s="33"/>
      <c r="Y68" s="33"/>
      <c r="Z68" s="33"/>
      <c r="AA68" s="33"/>
      <c r="AB68" s="33"/>
      <c r="AC68" s="33"/>
      <c r="AD68" s="34"/>
      <c r="AE68" s="34"/>
      <c r="AF68" s="49"/>
      <c r="AG68" s="50"/>
      <c r="AH68" s="51"/>
      <c r="AI68" s="51"/>
      <c r="AJ68" s="51"/>
      <c r="AK68" s="51"/>
      <c r="AL68" s="51"/>
      <c r="AM68" s="51"/>
      <c r="AN68" s="51">
        <f t="shared" si="46"/>
        <v>10962.08</v>
      </c>
      <c r="AO68" s="51"/>
      <c r="AP68" s="51">
        <f t="shared" si="41"/>
        <v>2740.52</v>
      </c>
      <c r="AQ68" s="51"/>
      <c r="AR68" s="51"/>
      <c r="AS68" s="51">
        <f t="shared" si="29"/>
        <v>5481.04</v>
      </c>
      <c r="AT68" s="51"/>
      <c r="AU68" s="65"/>
      <c r="AV68" s="54"/>
      <c r="AW68" s="55"/>
      <c r="AX68" s="56">
        <f t="shared" si="31"/>
        <v>10962.08</v>
      </c>
      <c r="AY68" s="56"/>
      <c r="AZ68" s="54"/>
      <c r="BA68" s="54"/>
      <c r="BB68" s="114"/>
      <c r="BC68" s="60"/>
      <c r="BD68" s="54">
        <f t="shared" si="6"/>
        <v>0</v>
      </c>
      <c r="BE68" s="54"/>
      <c r="BF68" s="54"/>
      <c r="BG68" s="54"/>
      <c r="BH68" s="54"/>
      <c r="BI68" s="54"/>
      <c r="BJ68" s="54"/>
      <c r="BK68" s="54"/>
      <c r="BL68" s="54"/>
      <c r="BM68" s="58">
        <f t="shared" si="39"/>
        <v>0</v>
      </c>
      <c r="BN68" s="58"/>
      <c r="BO68" s="66">
        <v>3972.7</v>
      </c>
      <c r="BP68" s="66"/>
      <c r="BQ68" s="66">
        <f t="shared" si="7"/>
        <v>7945.4</v>
      </c>
      <c r="BR68" s="66"/>
      <c r="BS68" s="66">
        <f t="shared" si="51"/>
        <v>7945.4</v>
      </c>
      <c r="BT68" s="58"/>
      <c r="BU68" s="54">
        <f t="shared" si="47"/>
        <v>0</v>
      </c>
      <c r="BV68" s="58"/>
      <c r="BW68" s="58">
        <f t="shared" si="15"/>
        <v>0</v>
      </c>
      <c r="BX68" s="58"/>
      <c r="BY68" s="91"/>
      <c r="BZ68" s="66">
        <f t="shared" si="32"/>
        <v>0</v>
      </c>
      <c r="CA68" s="66"/>
      <c r="CB68" s="54">
        <f t="shared" si="48"/>
        <v>3972.7</v>
      </c>
      <c r="CC68" s="54"/>
      <c r="CD68" s="54">
        <f t="shared" si="49"/>
        <v>0</v>
      </c>
      <c r="CE68" s="54"/>
      <c r="CF68" s="54">
        <f t="shared" si="50"/>
        <v>-7945.4</v>
      </c>
      <c r="CG68" s="60"/>
      <c r="CH68" s="61">
        <f t="shared" si="4"/>
        <v>-11918.099999999999</v>
      </c>
      <c r="CI68" s="200"/>
      <c r="CJ68" s="294"/>
    </row>
    <row r="69" spans="1:88" ht="18" hidden="1" customHeight="1" thickBot="1" x14ac:dyDescent="0.25">
      <c r="A69" s="4"/>
      <c r="B69" s="27"/>
      <c r="C69" s="28"/>
      <c r="D69" s="28"/>
      <c r="E69" s="29" t="s">
        <v>48</v>
      </c>
      <c r="F69" s="28"/>
      <c r="G69" s="68">
        <v>10027.549999999999</v>
      </c>
      <c r="H69" s="31"/>
      <c r="I69" s="68">
        <v>9500</v>
      </c>
      <c r="J69" s="31"/>
      <c r="K69" s="68">
        <f>ROUND((G69-I69),5)</f>
        <v>527.54999999999995</v>
      </c>
      <c r="L69" s="31"/>
      <c r="M69" s="69">
        <f>ROUND(IF(I69=0, IF(G69=0, 0, 1), G69/I69),5)</f>
        <v>1.0555300000000001</v>
      </c>
      <c r="N69" s="31"/>
      <c r="O69" s="68">
        <v>10735.26</v>
      </c>
      <c r="P69" s="31"/>
      <c r="Q69" s="68">
        <v>9500</v>
      </c>
      <c r="R69" s="31"/>
      <c r="S69" s="68">
        <f>ROUND((O69-Q69),5)</f>
        <v>1235.26</v>
      </c>
      <c r="T69" s="31"/>
      <c r="U69" s="69">
        <f>ROUND(IF(Q69=0, IF(O69=0, 0, 1), O69/Q69),5)</f>
        <v>1.1300300000000001</v>
      </c>
      <c r="V69" s="31"/>
      <c r="W69" s="33">
        <v>13797.58</v>
      </c>
      <c r="X69" s="33"/>
      <c r="Y69" s="70">
        <v>9500</v>
      </c>
      <c r="Z69" s="33"/>
      <c r="AA69" s="70">
        <f>ROUND((W69-Y69),5)</f>
        <v>4297.58</v>
      </c>
      <c r="AB69" s="33"/>
      <c r="AC69" s="33"/>
      <c r="AD69" s="34"/>
      <c r="AE69" s="34"/>
      <c r="AF69" s="49"/>
      <c r="AG69" s="50"/>
      <c r="AH69" s="51"/>
      <c r="AI69" s="51"/>
      <c r="AJ69" s="51"/>
      <c r="AK69" s="51"/>
      <c r="AL69" s="51">
        <v>114000</v>
      </c>
      <c r="AM69" s="51"/>
      <c r="AN69" s="51">
        <f t="shared" si="46"/>
        <v>138241.56</v>
      </c>
      <c r="AO69" s="51"/>
      <c r="AP69" s="51">
        <f t="shared" si="41"/>
        <v>34560.39</v>
      </c>
      <c r="AQ69" s="51"/>
      <c r="AR69" s="51">
        <f>ROUND(I69+Q69+Y69,5)</f>
        <v>28500</v>
      </c>
      <c r="AS69" s="51">
        <f t="shared" si="29"/>
        <v>69120.78</v>
      </c>
      <c r="AT69" s="51"/>
      <c r="AU69" s="65"/>
      <c r="AV69" s="54"/>
      <c r="AW69" s="55"/>
      <c r="AX69" s="56">
        <f t="shared" si="31"/>
        <v>24241.559999999998</v>
      </c>
      <c r="AY69" s="56"/>
      <c r="AZ69" s="54"/>
      <c r="BA69" s="54"/>
      <c r="BB69" s="114"/>
      <c r="BC69" s="60"/>
      <c r="BD69" s="54">
        <f t="shared" si="6"/>
        <v>0</v>
      </c>
      <c r="BE69" s="54"/>
      <c r="BF69" s="54"/>
      <c r="BG69" s="54"/>
      <c r="BH69" s="54"/>
      <c r="BI69" s="54"/>
      <c r="BJ69" s="54"/>
      <c r="BK69" s="54"/>
      <c r="BL69" s="54"/>
      <c r="BM69" s="58">
        <f t="shared" si="39"/>
        <v>0</v>
      </c>
      <c r="BN69" s="58"/>
      <c r="BO69" s="66">
        <v>0</v>
      </c>
      <c r="BP69" s="66"/>
      <c r="BQ69" s="66">
        <f t="shared" si="7"/>
        <v>0</v>
      </c>
      <c r="BR69" s="66"/>
      <c r="BS69" s="66">
        <f t="shared" si="51"/>
        <v>0</v>
      </c>
      <c r="BT69" s="58"/>
      <c r="BU69" s="54">
        <f t="shared" si="47"/>
        <v>0</v>
      </c>
      <c r="BV69" s="58"/>
      <c r="BW69" s="58">
        <f t="shared" si="15"/>
        <v>0</v>
      </c>
      <c r="BX69" s="58"/>
      <c r="BY69" s="91"/>
      <c r="BZ69" s="66">
        <f t="shared" si="32"/>
        <v>0</v>
      </c>
      <c r="CA69" s="66"/>
      <c r="CB69" s="54">
        <f t="shared" si="48"/>
        <v>0</v>
      </c>
      <c r="CC69" s="54"/>
      <c r="CD69" s="54">
        <f t="shared" si="49"/>
        <v>0</v>
      </c>
      <c r="CE69" s="54"/>
      <c r="CF69" s="54">
        <f t="shared" si="50"/>
        <v>0</v>
      </c>
      <c r="CG69" s="60"/>
      <c r="CH69" s="61">
        <f t="shared" si="4"/>
        <v>0</v>
      </c>
      <c r="CI69" s="200"/>
      <c r="CJ69" s="294"/>
    </row>
    <row r="70" spans="1:88" ht="17.25" hidden="1" customHeight="1" thickBot="1" x14ac:dyDescent="0.25">
      <c r="A70" s="4"/>
      <c r="B70" s="27"/>
      <c r="C70" s="28"/>
      <c r="D70" s="28" t="s">
        <v>41</v>
      </c>
      <c r="E70" s="29"/>
      <c r="F70" s="28"/>
      <c r="G70" s="30">
        <f>ROUND(SUM(G63:G69),5)</f>
        <v>15766.21</v>
      </c>
      <c r="H70" s="31"/>
      <c r="I70" s="30">
        <f>ROUND(SUM(I63:I69),5)</f>
        <v>9500</v>
      </c>
      <c r="J70" s="31"/>
      <c r="K70" s="30">
        <f>ROUND((G70-I70),5)</f>
        <v>6266.21</v>
      </c>
      <c r="L70" s="31"/>
      <c r="M70" s="32">
        <f>ROUND(IF(I70=0, IF(G70=0, 0, 1), G70/I70),5)</f>
        <v>1.6596</v>
      </c>
      <c r="N70" s="31"/>
      <c r="O70" s="30">
        <f>ROUND(SUM(O63:O69),5)</f>
        <v>10735.26</v>
      </c>
      <c r="P70" s="31"/>
      <c r="Q70" s="30">
        <f>ROUND(SUM(Q63:Q69),5)</f>
        <v>9500</v>
      </c>
      <c r="R70" s="31"/>
      <c r="S70" s="30">
        <f>ROUND((O70-Q70),5)</f>
        <v>1235.26</v>
      </c>
      <c r="T70" s="31"/>
      <c r="U70" s="32">
        <f>ROUND(IF(Q70=0, IF(O70=0, 0, 1), O70/Q70),5)</f>
        <v>1.1300300000000001</v>
      </c>
      <c r="V70" s="31"/>
      <c r="W70" s="33">
        <f>ROUND(SUM(W63:W69),5)</f>
        <v>13797.58</v>
      </c>
      <c r="X70" s="33"/>
      <c r="Y70" s="33">
        <f>ROUND(SUM(Y63:Y69),5)</f>
        <v>9500</v>
      </c>
      <c r="Z70" s="33"/>
      <c r="AA70" s="33">
        <f>ROUND((W70-Y70),5)</f>
        <v>4297.58</v>
      </c>
      <c r="AB70" s="33"/>
      <c r="AC70" s="33"/>
      <c r="AD70" s="34"/>
      <c r="AE70" s="34"/>
      <c r="AF70" s="49"/>
      <c r="AG70" s="50"/>
      <c r="AH70" s="51"/>
      <c r="AI70" s="51"/>
      <c r="AJ70" s="51">
        <v>83590.459999999992</v>
      </c>
      <c r="AK70" s="51"/>
      <c r="AL70" s="51">
        <v>114000</v>
      </c>
      <c r="AM70" s="51"/>
      <c r="AN70" s="51">
        <v>66997.8</v>
      </c>
      <c r="AO70" s="51"/>
      <c r="AP70" s="51">
        <v>51370.64</v>
      </c>
      <c r="AQ70" s="51"/>
      <c r="AR70" s="51">
        <f>ROUND(I70+Q70+Y70,5)</f>
        <v>28500</v>
      </c>
      <c r="AS70" s="51">
        <f t="shared" si="29"/>
        <v>102741.28</v>
      </c>
      <c r="AT70" s="51"/>
      <c r="AU70" s="53"/>
      <c r="AV70" s="54">
        <v>109000</v>
      </c>
      <c r="AW70" s="55"/>
      <c r="AX70" s="56">
        <f t="shared" si="31"/>
        <v>-47002.2</v>
      </c>
      <c r="AY70" s="56"/>
      <c r="AZ70" s="54">
        <v>43938.400000000001</v>
      </c>
      <c r="BA70" s="54"/>
      <c r="BB70" s="114"/>
      <c r="BC70" s="60"/>
      <c r="BD70" s="54">
        <f>60871.34+18516.54</f>
        <v>79387.88</v>
      </c>
      <c r="BE70" s="54"/>
      <c r="BF70" s="54"/>
      <c r="BG70" s="54">
        <v>109000</v>
      </c>
      <c r="BH70" s="54"/>
      <c r="BI70" s="54">
        <v>50778.07</v>
      </c>
      <c r="BJ70" s="54"/>
      <c r="BK70" s="54">
        <v>95000</v>
      </c>
      <c r="BL70" s="54"/>
      <c r="BM70" s="58">
        <f t="shared" si="39"/>
        <v>-14000</v>
      </c>
      <c r="BN70" s="58"/>
      <c r="BO70" s="66">
        <v>36864.870000000003</v>
      </c>
      <c r="BP70" s="66"/>
      <c r="BQ70" s="66">
        <f t="shared" si="7"/>
        <v>73729.740000000005</v>
      </c>
      <c r="BR70" s="66"/>
      <c r="BS70" s="66">
        <f t="shared" si="51"/>
        <v>-21270.259999999995</v>
      </c>
      <c r="BT70" s="58"/>
      <c r="BU70" s="54">
        <v>80000</v>
      </c>
      <c r="BV70" s="58"/>
      <c r="BW70" s="58">
        <f t="shared" si="15"/>
        <v>-15000</v>
      </c>
      <c r="BX70" s="58"/>
      <c r="BY70" s="91" t="s">
        <v>265</v>
      </c>
      <c r="BZ70" s="66">
        <f t="shared" si="32"/>
        <v>0</v>
      </c>
      <c r="CA70" s="66"/>
      <c r="CB70" s="54">
        <v>80000</v>
      </c>
      <c r="CC70" s="54"/>
      <c r="CD70" s="54">
        <v>80000</v>
      </c>
      <c r="CE70" s="54"/>
      <c r="CF70" s="54">
        <v>80000</v>
      </c>
      <c r="CG70" s="60"/>
      <c r="CH70" s="61">
        <f t="shared" si="4"/>
        <v>0</v>
      </c>
      <c r="CI70" s="200"/>
      <c r="CJ70" s="294"/>
    </row>
    <row r="71" spans="1:88" ht="18.75" hidden="1" customHeight="1" x14ac:dyDescent="0.2">
      <c r="A71" s="4"/>
      <c r="B71" s="27"/>
      <c r="C71" s="28"/>
      <c r="D71" s="28"/>
      <c r="E71" s="29" t="s">
        <v>50</v>
      </c>
      <c r="F71" s="28"/>
      <c r="G71" s="30">
        <v>0</v>
      </c>
      <c r="H71" s="31"/>
      <c r="I71" s="30"/>
      <c r="J71" s="31"/>
      <c r="K71" s="30"/>
      <c r="L71" s="31"/>
      <c r="M71" s="32"/>
      <c r="N71" s="31"/>
      <c r="O71" s="30">
        <v>0</v>
      </c>
      <c r="P71" s="31"/>
      <c r="Q71" s="30"/>
      <c r="R71" s="31"/>
      <c r="S71" s="30"/>
      <c r="T71" s="31"/>
      <c r="U71" s="32"/>
      <c r="V71" s="31"/>
      <c r="W71" s="33">
        <v>742.18</v>
      </c>
      <c r="X71" s="33"/>
      <c r="Y71" s="33"/>
      <c r="Z71" s="33"/>
      <c r="AA71" s="33"/>
      <c r="AB71" s="33"/>
      <c r="AC71" s="33"/>
      <c r="AD71" s="34"/>
      <c r="AE71" s="34"/>
      <c r="AF71" s="49"/>
      <c r="AG71" s="50"/>
      <c r="AH71" s="51"/>
      <c r="AI71" s="51"/>
      <c r="AJ71" s="51"/>
      <c r="AK71" s="51"/>
      <c r="AL71" s="51"/>
      <c r="AM71" s="51"/>
      <c r="AN71" s="51">
        <f t="shared" ref="AN71:AN77" si="52">AP71*4</f>
        <v>2968.72</v>
      </c>
      <c r="AO71" s="51"/>
      <c r="AP71" s="51">
        <f t="shared" si="41"/>
        <v>742.18</v>
      </c>
      <c r="AQ71" s="51"/>
      <c r="AR71" s="51"/>
      <c r="AS71" s="51">
        <f t="shared" si="29"/>
        <v>1484.36</v>
      </c>
      <c r="AT71" s="51"/>
      <c r="AU71" s="65"/>
      <c r="AV71" s="54"/>
      <c r="AW71" s="55"/>
      <c r="AX71" s="56">
        <f t="shared" si="31"/>
        <v>2968.72</v>
      </c>
      <c r="AY71" s="56"/>
      <c r="AZ71" s="54"/>
      <c r="BA71" s="54"/>
      <c r="BB71" s="114"/>
      <c r="BC71" s="60"/>
      <c r="BD71" s="54">
        <f t="shared" si="6"/>
        <v>0</v>
      </c>
      <c r="BE71" s="54"/>
      <c r="BF71" s="54"/>
      <c r="BG71" s="54"/>
      <c r="BH71" s="54"/>
      <c r="BI71" s="54"/>
      <c r="BJ71" s="54"/>
      <c r="BK71" s="54"/>
      <c r="BL71" s="54"/>
      <c r="BM71" s="58">
        <f t="shared" si="39"/>
        <v>0</v>
      </c>
      <c r="BN71" s="58"/>
      <c r="BO71" s="66">
        <v>203819.53</v>
      </c>
      <c r="BP71" s="66"/>
      <c r="BQ71" s="66">
        <f t="shared" si="7"/>
        <v>407639.06</v>
      </c>
      <c r="BR71" s="66"/>
      <c r="BS71" s="66">
        <f t="shared" si="51"/>
        <v>407639.06</v>
      </c>
      <c r="BT71" s="58"/>
      <c r="BU71" s="54">
        <f t="shared" ref="BU71:BU77" si="53">BM71-BI71</f>
        <v>0</v>
      </c>
      <c r="BV71" s="58"/>
      <c r="BW71" s="58">
        <f t="shared" si="15"/>
        <v>0</v>
      </c>
      <c r="BX71" s="58"/>
      <c r="BY71" s="91"/>
      <c r="BZ71" s="66">
        <f t="shared" si="32"/>
        <v>0</v>
      </c>
      <c r="CA71" s="66"/>
      <c r="CB71" s="54">
        <f t="shared" ref="CB71:CB77" si="54">BS71-BO71</f>
        <v>203819.53</v>
      </c>
      <c r="CC71" s="54"/>
      <c r="CD71" s="54">
        <f t="shared" ref="CD71:CD77" si="55">BT71-BP71</f>
        <v>0</v>
      </c>
      <c r="CE71" s="54"/>
      <c r="CF71" s="54">
        <f t="shared" ref="CF71:CF77" si="56">BU71-BQ71</f>
        <v>-407639.06</v>
      </c>
      <c r="CG71" s="60"/>
      <c r="CH71" s="61">
        <f t="shared" si="4"/>
        <v>-611458.59</v>
      </c>
      <c r="CI71" s="200"/>
      <c r="CJ71" s="294"/>
    </row>
    <row r="72" spans="1:88" ht="18.75" hidden="1" customHeight="1" x14ac:dyDescent="0.2">
      <c r="A72" s="4"/>
      <c r="B72" s="27"/>
      <c r="C72" s="28"/>
      <c r="D72" s="28"/>
      <c r="E72" s="29" t="s">
        <v>51</v>
      </c>
      <c r="F72" s="28"/>
      <c r="G72" s="30">
        <v>249.08</v>
      </c>
      <c r="H72" s="31"/>
      <c r="I72" s="30"/>
      <c r="J72" s="31"/>
      <c r="K72" s="30"/>
      <c r="L72" s="31"/>
      <c r="M72" s="32"/>
      <c r="N72" s="31"/>
      <c r="O72" s="30">
        <v>0</v>
      </c>
      <c r="P72" s="31"/>
      <c r="Q72" s="30"/>
      <c r="R72" s="31"/>
      <c r="S72" s="30"/>
      <c r="T72" s="31"/>
      <c r="U72" s="32"/>
      <c r="V72" s="31"/>
      <c r="W72" s="33">
        <v>0</v>
      </c>
      <c r="X72" s="33"/>
      <c r="Y72" s="33"/>
      <c r="Z72" s="33"/>
      <c r="AA72" s="33"/>
      <c r="AB72" s="33"/>
      <c r="AC72" s="33"/>
      <c r="AD72" s="34"/>
      <c r="AE72" s="34"/>
      <c r="AF72" s="49"/>
      <c r="AG72" s="50"/>
      <c r="AH72" s="51"/>
      <c r="AI72" s="51"/>
      <c r="AJ72" s="51"/>
      <c r="AK72" s="51"/>
      <c r="AL72" s="51"/>
      <c r="AM72" s="51"/>
      <c r="AN72" s="51">
        <f t="shared" si="52"/>
        <v>996.32</v>
      </c>
      <c r="AO72" s="51"/>
      <c r="AP72" s="51">
        <f t="shared" si="41"/>
        <v>249.08</v>
      </c>
      <c r="AQ72" s="51"/>
      <c r="AR72" s="51"/>
      <c r="AS72" s="51">
        <f t="shared" si="29"/>
        <v>498.16</v>
      </c>
      <c r="AT72" s="51"/>
      <c r="AU72" s="65"/>
      <c r="AV72" s="54"/>
      <c r="AW72" s="55"/>
      <c r="AX72" s="56">
        <f t="shared" si="31"/>
        <v>996.32</v>
      </c>
      <c r="AY72" s="56"/>
      <c r="AZ72" s="54"/>
      <c r="BA72" s="54"/>
      <c r="BB72" s="114"/>
      <c r="BC72" s="60"/>
      <c r="BD72" s="54">
        <f t="shared" si="6"/>
        <v>0</v>
      </c>
      <c r="BE72" s="54"/>
      <c r="BF72" s="54"/>
      <c r="BG72" s="54"/>
      <c r="BH72" s="54"/>
      <c r="BI72" s="54"/>
      <c r="BJ72" s="54"/>
      <c r="BK72" s="54"/>
      <c r="BL72" s="54"/>
      <c r="BM72" s="58">
        <f t="shared" si="39"/>
        <v>0</v>
      </c>
      <c r="BN72" s="58"/>
      <c r="BO72" s="54"/>
      <c r="BP72" s="54"/>
      <c r="BQ72" s="66">
        <f t="shared" ref="BQ72:BQ118" si="57">BO72*2</f>
        <v>0</v>
      </c>
      <c r="BR72" s="66"/>
      <c r="BS72" s="66">
        <f t="shared" si="51"/>
        <v>0</v>
      </c>
      <c r="BT72" s="58"/>
      <c r="BU72" s="54">
        <f t="shared" si="53"/>
        <v>0</v>
      </c>
      <c r="BV72" s="58"/>
      <c r="BW72" s="58">
        <f t="shared" si="15"/>
        <v>0</v>
      </c>
      <c r="BX72" s="58"/>
      <c r="BY72" s="91"/>
      <c r="BZ72" s="66">
        <f t="shared" si="32"/>
        <v>0</v>
      </c>
      <c r="CA72" s="66"/>
      <c r="CB72" s="54">
        <f t="shared" si="54"/>
        <v>0</v>
      </c>
      <c r="CC72" s="54"/>
      <c r="CD72" s="54">
        <f t="shared" si="55"/>
        <v>0</v>
      </c>
      <c r="CE72" s="54"/>
      <c r="CF72" s="54">
        <f t="shared" si="56"/>
        <v>0</v>
      </c>
      <c r="CG72" s="60"/>
      <c r="CH72" s="61">
        <f t="shared" ref="CH72:CH92" si="58">CF72-CB72</f>
        <v>0</v>
      </c>
      <c r="CI72" s="200"/>
      <c r="CJ72" s="294"/>
    </row>
    <row r="73" spans="1:88" ht="18.75" hidden="1" customHeight="1" x14ac:dyDescent="0.2">
      <c r="A73" s="4"/>
      <c r="B73" s="27"/>
      <c r="C73" s="28"/>
      <c r="D73" s="28"/>
      <c r="E73" s="29" t="s">
        <v>52</v>
      </c>
      <c r="F73" s="28"/>
      <c r="G73" s="30">
        <v>79.53</v>
      </c>
      <c r="H73" s="31"/>
      <c r="I73" s="30"/>
      <c r="J73" s="31"/>
      <c r="K73" s="30"/>
      <c r="L73" s="31"/>
      <c r="M73" s="32"/>
      <c r="N73" s="31"/>
      <c r="O73" s="30">
        <v>0</v>
      </c>
      <c r="P73" s="31"/>
      <c r="Q73" s="30"/>
      <c r="R73" s="31"/>
      <c r="S73" s="30"/>
      <c r="T73" s="31"/>
      <c r="U73" s="32"/>
      <c r="V73" s="31"/>
      <c r="W73" s="33">
        <v>0</v>
      </c>
      <c r="X73" s="33"/>
      <c r="Y73" s="33"/>
      <c r="Z73" s="33"/>
      <c r="AA73" s="33"/>
      <c r="AB73" s="33"/>
      <c r="AC73" s="33"/>
      <c r="AD73" s="34"/>
      <c r="AE73" s="34"/>
      <c r="AF73" s="49"/>
      <c r="AG73" s="50"/>
      <c r="AH73" s="51"/>
      <c r="AI73" s="51"/>
      <c r="AJ73" s="51"/>
      <c r="AK73" s="51"/>
      <c r="AL73" s="51"/>
      <c r="AM73" s="51"/>
      <c r="AN73" s="51">
        <f t="shared" si="52"/>
        <v>318.12</v>
      </c>
      <c r="AO73" s="51"/>
      <c r="AP73" s="51">
        <f t="shared" si="41"/>
        <v>79.53</v>
      </c>
      <c r="AQ73" s="51"/>
      <c r="AR73" s="51"/>
      <c r="AS73" s="51">
        <f t="shared" si="29"/>
        <v>159.06</v>
      </c>
      <c r="AT73" s="51"/>
      <c r="AU73" s="65"/>
      <c r="AV73" s="54"/>
      <c r="AW73" s="55"/>
      <c r="AX73" s="56">
        <f t="shared" si="31"/>
        <v>318.12</v>
      </c>
      <c r="AY73" s="56"/>
      <c r="AZ73" s="54"/>
      <c r="BA73" s="54"/>
      <c r="BB73" s="114"/>
      <c r="BC73" s="60"/>
      <c r="BD73" s="54">
        <f t="shared" si="6"/>
        <v>0</v>
      </c>
      <c r="BE73" s="54"/>
      <c r="BF73" s="54"/>
      <c r="BG73" s="54"/>
      <c r="BH73" s="54"/>
      <c r="BI73" s="54"/>
      <c r="BJ73" s="54"/>
      <c r="BK73" s="54"/>
      <c r="BL73" s="54"/>
      <c r="BM73" s="58">
        <f t="shared" si="39"/>
        <v>0</v>
      </c>
      <c r="BN73" s="58"/>
      <c r="BO73" s="54"/>
      <c r="BP73" s="54"/>
      <c r="BQ73" s="66">
        <f t="shared" si="57"/>
        <v>0</v>
      </c>
      <c r="BR73" s="66"/>
      <c r="BS73" s="66">
        <f t="shared" si="51"/>
        <v>0</v>
      </c>
      <c r="BT73" s="58"/>
      <c r="BU73" s="54">
        <f t="shared" si="53"/>
        <v>0</v>
      </c>
      <c r="BV73" s="58"/>
      <c r="BW73" s="58">
        <f t="shared" si="15"/>
        <v>0</v>
      </c>
      <c r="BX73" s="58"/>
      <c r="BY73" s="91"/>
      <c r="BZ73" s="66">
        <f t="shared" si="32"/>
        <v>0</v>
      </c>
      <c r="CA73" s="66"/>
      <c r="CB73" s="54">
        <f t="shared" si="54"/>
        <v>0</v>
      </c>
      <c r="CC73" s="54"/>
      <c r="CD73" s="54">
        <f t="shared" si="55"/>
        <v>0</v>
      </c>
      <c r="CE73" s="54"/>
      <c r="CF73" s="54">
        <f t="shared" si="56"/>
        <v>0</v>
      </c>
      <c r="CG73" s="60"/>
      <c r="CH73" s="61">
        <f t="shared" si="58"/>
        <v>0</v>
      </c>
      <c r="CI73" s="200"/>
      <c r="CJ73" s="294"/>
    </row>
    <row r="74" spans="1:88" ht="18.75" hidden="1" customHeight="1" x14ac:dyDescent="0.2">
      <c r="A74" s="4"/>
      <c r="B74" s="27"/>
      <c r="C74" s="28"/>
      <c r="D74" s="28"/>
      <c r="E74" s="29" t="s">
        <v>53</v>
      </c>
      <c r="F74" s="28"/>
      <c r="G74" s="30">
        <v>89</v>
      </c>
      <c r="H74" s="31"/>
      <c r="I74" s="30"/>
      <c r="J74" s="31"/>
      <c r="K74" s="30"/>
      <c r="L74" s="31"/>
      <c r="M74" s="32"/>
      <c r="N74" s="31"/>
      <c r="O74" s="30">
        <v>0</v>
      </c>
      <c r="P74" s="31"/>
      <c r="Q74" s="30"/>
      <c r="R74" s="31"/>
      <c r="S74" s="30"/>
      <c r="T74" s="31"/>
      <c r="U74" s="32"/>
      <c r="V74" s="31"/>
      <c r="W74" s="33">
        <v>0</v>
      </c>
      <c r="X74" s="33"/>
      <c r="Y74" s="33"/>
      <c r="Z74" s="33"/>
      <c r="AA74" s="33"/>
      <c r="AB74" s="33"/>
      <c r="AC74" s="33"/>
      <c r="AD74" s="34"/>
      <c r="AE74" s="34"/>
      <c r="AF74" s="49"/>
      <c r="AG74" s="50"/>
      <c r="AH74" s="51"/>
      <c r="AI74" s="51"/>
      <c r="AJ74" s="51"/>
      <c r="AK74" s="51"/>
      <c r="AL74" s="51"/>
      <c r="AM74" s="51"/>
      <c r="AN74" s="51">
        <f t="shared" si="52"/>
        <v>356</v>
      </c>
      <c r="AO74" s="51"/>
      <c r="AP74" s="51">
        <f t="shared" si="41"/>
        <v>89</v>
      </c>
      <c r="AQ74" s="51"/>
      <c r="AR74" s="51"/>
      <c r="AS74" s="51">
        <f t="shared" si="29"/>
        <v>178</v>
      </c>
      <c r="AT74" s="51"/>
      <c r="AU74" s="65"/>
      <c r="AV74" s="54"/>
      <c r="AW74" s="55"/>
      <c r="AX74" s="56">
        <f t="shared" si="31"/>
        <v>356</v>
      </c>
      <c r="AY74" s="56"/>
      <c r="AZ74" s="54"/>
      <c r="BA74" s="54"/>
      <c r="BB74" s="114"/>
      <c r="BC74" s="60"/>
      <c r="BD74" s="54">
        <f t="shared" si="6"/>
        <v>0</v>
      </c>
      <c r="BE74" s="54"/>
      <c r="BF74" s="54"/>
      <c r="BG74" s="54"/>
      <c r="BH74" s="54"/>
      <c r="BI74" s="54"/>
      <c r="BJ74" s="54"/>
      <c r="BK74" s="54"/>
      <c r="BL74" s="54"/>
      <c r="BM74" s="58">
        <f t="shared" si="39"/>
        <v>0</v>
      </c>
      <c r="BN74" s="58"/>
      <c r="BO74" s="54"/>
      <c r="BP74" s="54"/>
      <c r="BQ74" s="66">
        <f t="shared" si="57"/>
        <v>0</v>
      </c>
      <c r="BR74" s="66"/>
      <c r="BS74" s="66">
        <f t="shared" si="51"/>
        <v>0</v>
      </c>
      <c r="BT74" s="58"/>
      <c r="BU74" s="54">
        <f t="shared" si="53"/>
        <v>0</v>
      </c>
      <c r="BV74" s="58"/>
      <c r="BW74" s="58">
        <f t="shared" si="15"/>
        <v>0</v>
      </c>
      <c r="BX74" s="58"/>
      <c r="BY74" s="91"/>
      <c r="BZ74" s="66">
        <f t="shared" si="32"/>
        <v>0</v>
      </c>
      <c r="CA74" s="66"/>
      <c r="CB74" s="54">
        <f t="shared" si="54"/>
        <v>0</v>
      </c>
      <c r="CC74" s="54"/>
      <c r="CD74" s="54">
        <f t="shared" si="55"/>
        <v>0</v>
      </c>
      <c r="CE74" s="54"/>
      <c r="CF74" s="54">
        <f t="shared" si="56"/>
        <v>0</v>
      </c>
      <c r="CG74" s="60"/>
      <c r="CH74" s="61">
        <f t="shared" si="58"/>
        <v>0</v>
      </c>
      <c r="CI74" s="200"/>
      <c r="CJ74" s="294"/>
    </row>
    <row r="75" spans="1:88" ht="18.75" hidden="1" customHeight="1" x14ac:dyDescent="0.2">
      <c r="A75" s="4"/>
      <c r="B75" s="27"/>
      <c r="C75" s="28"/>
      <c r="D75" s="28"/>
      <c r="E75" s="29" t="s">
        <v>54</v>
      </c>
      <c r="F75" s="28"/>
      <c r="G75" s="30">
        <v>87.19</v>
      </c>
      <c r="H75" s="31"/>
      <c r="I75" s="30"/>
      <c r="J75" s="31"/>
      <c r="K75" s="30"/>
      <c r="L75" s="31"/>
      <c r="M75" s="32"/>
      <c r="N75" s="31"/>
      <c r="O75" s="30">
        <v>0</v>
      </c>
      <c r="P75" s="31"/>
      <c r="Q75" s="30"/>
      <c r="R75" s="31"/>
      <c r="S75" s="30"/>
      <c r="T75" s="31"/>
      <c r="U75" s="32"/>
      <c r="V75" s="31"/>
      <c r="W75" s="33">
        <v>0</v>
      </c>
      <c r="X75" s="33"/>
      <c r="Y75" s="33"/>
      <c r="Z75" s="33"/>
      <c r="AA75" s="33"/>
      <c r="AB75" s="33"/>
      <c r="AC75" s="33"/>
      <c r="AD75" s="34"/>
      <c r="AE75" s="34"/>
      <c r="AF75" s="49"/>
      <c r="AG75" s="50"/>
      <c r="AH75" s="51"/>
      <c r="AI75" s="51"/>
      <c r="AJ75" s="51"/>
      <c r="AK75" s="51"/>
      <c r="AL75" s="51"/>
      <c r="AM75" s="51"/>
      <c r="AN75" s="51">
        <f t="shared" si="52"/>
        <v>348.76</v>
      </c>
      <c r="AO75" s="51"/>
      <c r="AP75" s="51">
        <f t="shared" si="41"/>
        <v>87.19</v>
      </c>
      <c r="AQ75" s="51"/>
      <c r="AR75" s="51"/>
      <c r="AS75" s="51">
        <f t="shared" si="29"/>
        <v>174.38</v>
      </c>
      <c r="AT75" s="51"/>
      <c r="AU75" s="65"/>
      <c r="AV75" s="54"/>
      <c r="AW75" s="55"/>
      <c r="AX75" s="56">
        <f t="shared" si="31"/>
        <v>348.76</v>
      </c>
      <c r="AY75" s="56"/>
      <c r="AZ75" s="54"/>
      <c r="BA75" s="54"/>
      <c r="BB75" s="114"/>
      <c r="BC75" s="60"/>
      <c r="BD75" s="54">
        <f t="shared" si="6"/>
        <v>0</v>
      </c>
      <c r="BE75" s="54"/>
      <c r="BF75" s="54"/>
      <c r="BG75" s="54"/>
      <c r="BH75" s="54"/>
      <c r="BI75" s="54"/>
      <c r="BJ75" s="54"/>
      <c r="BK75" s="54"/>
      <c r="BL75" s="54"/>
      <c r="BM75" s="58">
        <f t="shared" si="39"/>
        <v>0</v>
      </c>
      <c r="BN75" s="58"/>
      <c r="BO75" s="54"/>
      <c r="BP75" s="54"/>
      <c r="BQ75" s="66">
        <f t="shared" si="57"/>
        <v>0</v>
      </c>
      <c r="BR75" s="66"/>
      <c r="BS75" s="66">
        <f t="shared" si="51"/>
        <v>0</v>
      </c>
      <c r="BT75" s="58"/>
      <c r="BU75" s="54">
        <f t="shared" si="53"/>
        <v>0</v>
      </c>
      <c r="BV75" s="58"/>
      <c r="BW75" s="58">
        <f t="shared" si="15"/>
        <v>0</v>
      </c>
      <c r="BX75" s="58"/>
      <c r="BY75" s="91"/>
      <c r="BZ75" s="66">
        <f t="shared" si="32"/>
        <v>0</v>
      </c>
      <c r="CA75" s="66"/>
      <c r="CB75" s="54">
        <f t="shared" si="54"/>
        <v>0</v>
      </c>
      <c r="CC75" s="54"/>
      <c r="CD75" s="54">
        <f t="shared" si="55"/>
        <v>0</v>
      </c>
      <c r="CE75" s="54"/>
      <c r="CF75" s="54">
        <f t="shared" si="56"/>
        <v>0</v>
      </c>
      <c r="CG75" s="60"/>
      <c r="CH75" s="61">
        <f t="shared" si="58"/>
        <v>0</v>
      </c>
      <c r="CI75" s="200"/>
      <c r="CJ75" s="294"/>
    </row>
    <row r="76" spans="1:88" ht="18.75" hidden="1" customHeight="1" x14ac:dyDescent="0.2">
      <c r="A76" s="4"/>
      <c r="B76" s="27"/>
      <c r="C76" s="28"/>
      <c r="D76" s="28"/>
      <c r="E76" s="29" t="s">
        <v>55</v>
      </c>
      <c r="F76" s="28"/>
      <c r="G76" s="30">
        <v>50.55</v>
      </c>
      <c r="H76" s="31"/>
      <c r="I76" s="30"/>
      <c r="J76" s="31"/>
      <c r="K76" s="30"/>
      <c r="L76" s="31"/>
      <c r="M76" s="32"/>
      <c r="N76" s="31"/>
      <c r="O76" s="30">
        <v>0</v>
      </c>
      <c r="P76" s="31"/>
      <c r="Q76" s="30"/>
      <c r="R76" s="31"/>
      <c r="S76" s="30"/>
      <c r="T76" s="31"/>
      <c r="U76" s="32"/>
      <c r="V76" s="31"/>
      <c r="W76" s="33">
        <v>0</v>
      </c>
      <c r="X76" s="33"/>
      <c r="Y76" s="33"/>
      <c r="Z76" s="33"/>
      <c r="AA76" s="33"/>
      <c r="AB76" s="33"/>
      <c r="AC76" s="33"/>
      <c r="AD76" s="34"/>
      <c r="AE76" s="34"/>
      <c r="AF76" s="49"/>
      <c r="AG76" s="50"/>
      <c r="AH76" s="51"/>
      <c r="AI76" s="51"/>
      <c r="AJ76" s="51"/>
      <c r="AK76" s="51"/>
      <c r="AL76" s="51">
        <v>35000</v>
      </c>
      <c r="AM76" s="51"/>
      <c r="AN76" s="51">
        <f t="shared" si="52"/>
        <v>202.2</v>
      </c>
      <c r="AO76" s="51"/>
      <c r="AP76" s="51">
        <f t="shared" si="41"/>
        <v>50.55</v>
      </c>
      <c r="AQ76" s="51"/>
      <c r="AR76" s="51"/>
      <c r="AS76" s="51">
        <f t="shared" si="29"/>
        <v>101.1</v>
      </c>
      <c r="AT76" s="51"/>
      <c r="AU76" s="65"/>
      <c r="AV76" s="54"/>
      <c r="AW76" s="55"/>
      <c r="AX76" s="56">
        <f t="shared" si="31"/>
        <v>-34797.800000000003</v>
      </c>
      <c r="AY76" s="56"/>
      <c r="AZ76" s="54"/>
      <c r="BA76" s="54"/>
      <c r="BB76" s="114"/>
      <c r="BC76" s="60"/>
      <c r="BD76" s="54">
        <f t="shared" si="6"/>
        <v>0</v>
      </c>
      <c r="BE76" s="54"/>
      <c r="BF76" s="54"/>
      <c r="BG76" s="54"/>
      <c r="BH76" s="54"/>
      <c r="BI76" s="54"/>
      <c r="BJ76" s="54"/>
      <c r="BK76" s="54"/>
      <c r="BL76" s="54"/>
      <c r="BM76" s="58">
        <f t="shared" si="39"/>
        <v>0</v>
      </c>
      <c r="BN76" s="58"/>
      <c r="BO76" s="54"/>
      <c r="BP76" s="54"/>
      <c r="BQ76" s="66">
        <f t="shared" si="57"/>
        <v>0</v>
      </c>
      <c r="BR76" s="66"/>
      <c r="BS76" s="66">
        <f t="shared" si="51"/>
        <v>0</v>
      </c>
      <c r="BT76" s="58"/>
      <c r="BU76" s="54">
        <f t="shared" si="53"/>
        <v>0</v>
      </c>
      <c r="BV76" s="58"/>
      <c r="BW76" s="58">
        <f t="shared" si="15"/>
        <v>0</v>
      </c>
      <c r="BX76" s="58"/>
      <c r="BY76" s="91"/>
      <c r="BZ76" s="66">
        <f t="shared" si="32"/>
        <v>0</v>
      </c>
      <c r="CA76" s="66"/>
      <c r="CB76" s="54">
        <f t="shared" si="54"/>
        <v>0</v>
      </c>
      <c r="CC76" s="54"/>
      <c r="CD76" s="54">
        <f t="shared" si="55"/>
        <v>0</v>
      </c>
      <c r="CE76" s="54"/>
      <c r="CF76" s="54">
        <f t="shared" si="56"/>
        <v>0</v>
      </c>
      <c r="CG76" s="60"/>
      <c r="CH76" s="61">
        <f t="shared" si="58"/>
        <v>0</v>
      </c>
      <c r="CI76" s="200"/>
      <c r="CJ76" s="294"/>
    </row>
    <row r="77" spans="1:88" ht="18.75" hidden="1" customHeight="1" thickBot="1" x14ac:dyDescent="0.25">
      <c r="A77" s="4"/>
      <c r="B77" s="27"/>
      <c r="C77" s="28"/>
      <c r="D77" s="28"/>
      <c r="E77" s="29" t="s">
        <v>56</v>
      </c>
      <c r="F77" s="28"/>
      <c r="G77" s="30">
        <v>751.81</v>
      </c>
      <c r="H77" s="31"/>
      <c r="I77" s="30">
        <v>2916.63</v>
      </c>
      <c r="J77" s="31"/>
      <c r="K77" s="30">
        <f t="shared" ref="K77:K82" si="59">ROUND((G77-I77),5)</f>
        <v>-2164.8200000000002</v>
      </c>
      <c r="L77" s="31"/>
      <c r="M77" s="32">
        <f t="shared" ref="M77:M82" si="60">ROUND(IF(I77=0, IF(G77=0, 0, 1), G77/I77),5)</f>
        <v>0.25777</v>
      </c>
      <c r="N77" s="31"/>
      <c r="O77" s="30">
        <v>1923.04</v>
      </c>
      <c r="P77" s="31"/>
      <c r="Q77" s="30">
        <v>2916.67</v>
      </c>
      <c r="R77" s="31"/>
      <c r="S77" s="30">
        <f t="shared" ref="S77:S82" si="61">ROUND((O77-Q77),5)</f>
        <v>-993.63</v>
      </c>
      <c r="T77" s="31"/>
      <c r="U77" s="32">
        <f t="shared" ref="U77:U82" si="62">ROUND(IF(Q77=0, IF(O77=0, 0, 1), O77/Q77),5)</f>
        <v>0.65932999999999997</v>
      </c>
      <c r="V77" s="31"/>
      <c r="W77" s="33">
        <v>7456.25</v>
      </c>
      <c r="X77" s="33"/>
      <c r="Y77" s="33">
        <v>2916.67</v>
      </c>
      <c r="Z77" s="33"/>
      <c r="AA77" s="33">
        <f t="shared" ref="AA77:AA82" si="63">ROUND((W77-Y77),5)</f>
        <v>4539.58</v>
      </c>
      <c r="AB77" s="33"/>
      <c r="AC77" s="33"/>
      <c r="AD77" s="34"/>
      <c r="AE77" s="34"/>
      <c r="AF77" s="49"/>
      <c r="AG77" s="50"/>
      <c r="AH77" s="51"/>
      <c r="AI77" s="51"/>
      <c r="AJ77" s="51"/>
      <c r="AK77" s="51"/>
      <c r="AL77" s="51">
        <v>35000</v>
      </c>
      <c r="AM77" s="51"/>
      <c r="AN77" s="51">
        <f t="shared" si="52"/>
        <v>40524.400000000001</v>
      </c>
      <c r="AO77" s="51"/>
      <c r="AP77" s="51">
        <f t="shared" si="41"/>
        <v>10131.1</v>
      </c>
      <c r="AQ77" s="51"/>
      <c r="AR77" s="51">
        <f>ROUND(I77+Q77+Y77,5)</f>
        <v>8749.9699999999993</v>
      </c>
      <c r="AS77" s="51">
        <f t="shared" si="29"/>
        <v>20262.2</v>
      </c>
      <c r="AT77" s="51"/>
      <c r="AU77" s="65"/>
      <c r="AV77" s="54"/>
      <c r="AW77" s="55"/>
      <c r="AX77" s="56">
        <f t="shared" si="31"/>
        <v>5524.4000000000015</v>
      </c>
      <c r="AY77" s="56"/>
      <c r="AZ77" s="54"/>
      <c r="BA77" s="54"/>
      <c r="BB77" s="114"/>
      <c r="BC77" s="60"/>
      <c r="BD77" s="54">
        <f t="shared" si="6"/>
        <v>0</v>
      </c>
      <c r="BE77" s="54"/>
      <c r="BF77" s="54"/>
      <c r="BG77" s="54"/>
      <c r="BH77" s="54"/>
      <c r="BI77" s="54"/>
      <c r="BJ77" s="54"/>
      <c r="BK77" s="54"/>
      <c r="BL77" s="54"/>
      <c r="BM77" s="58">
        <f t="shared" si="39"/>
        <v>0</v>
      </c>
      <c r="BN77" s="58"/>
      <c r="BO77" s="54"/>
      <c r="BP77" s="54"/>
      <c r="BQ77" s="66">
        <f t="shared" si="57"/>
        <v>0</v>
      </c>
      <c r="BR77" s="66"/>
      <c r="BS77" s="66">
        <f t="shared" si="51"/>
        <v>0</v>
      </c>
      <c r="BT77" s="58"/>
      <c r="BU77" s="54">
        <f t="shared" si="53"/>
        <v>0</v>
      </c>
      <c r="BV77" s="58"/>
      <c r="BW77" s="58">
        <f t="shared" si="15"/>
        <v>0</v>
      </c>
      <c r="BX77" s="58"/>
      <c r="BY77" s="91"/>
      <c r="BZ77" s="66">
        <f t="shared" si="32"/>
        <v>0</v>
      </c>
      <c r="CA77" s="66"/>
      <c r="CB77" s="54">
        <f t="shared" si="54"/>
        <v>0</v>
      </c>
      <c r="CC77" s="54"/>
      <c r="CD77" s="54">
        <f t="shared" si="55"/>
        <v>0</v>
      </c>
      <c r="CE77" s="54"/>
      <c r="CF77" s="54">
        <f t="shared" si="56"/>
        <v>0</v>
      </c>
      <c r="CG77" s="60"/>
      <c r="CH77" s="61">
        <f t="shared" si="58"/>
        <v>0</v>
      </c>
      <c r="CI77" s="200"/>
      <c r="CJ77" s="294"/>
    </row>
    <row r="78" spans="1:88" ht="16.5" hidden="1" customHeight="1" thickBot="1" x14ac:dyDescent="0.25">
      <c r="A78" s="4"/>
      <c r="B78" s="27"/>
      <c r="C78" s="28"/>
      <c r="D78" s="28" t="s">
        <v>49</v>
      </c>
      <c r="E78" s="29"/>
      <c r="F78" s="28"/>
      <c r="G78" s="144">
        <f>ROUND(SUM(G71:G77),5)</f>
        <v>1307.1600000000001</v>
      </c>
      <c r="H78" s="31"/>
      <c r="I78" s="144">
        <f>ROUND(SUM(I71:I77),5)</f>
        <v>2916.63</v>
      </c>
      <c r="J78" s="31"/>
      <c r="K78" s="144">
        <f t="shared" si="59"/>
        <v>-1609.47</v>
      </c>
      <c r="L78" s="31"/>
      <c r="M78" s="145">
        <f t="shared" si="60"/>
        <v>0.44817000000000001</v>
      </c>
      <c r="N78" s="31"/>
      <c r="O78" s="144">
        <f>ROUND(SUM(O71:O77),5)</f>
        <v>1923.04</v>
      </c>
      <c r="P78" s="31"/>
      <c r="Q78" s="144">
        <f>ROUND(SUM(Q71:Q77),5)</f>
        <v>2916.67</v>
      </c>
      <c r="R78" s="31"/>
      <c r="S78" s="144">
        <f t="shared" si="61"/>
        <v>-993.63</v>
      </c>
      <c r="T78" s="31"/>
      <c r="U78" s="145">
        <f t="shared" si="62"/>
        <v>0.65932999999999997</v>
      </c>
      <c r="V78" s="31"/>
      <c r="W78" s="70">
        <f>ROUND(SUM(W71:W77),5)</f>
        <v>8198.43</v>
      </c>
      <c r="X78" s="70"/>
      <c r="Y78" s="70">
        <f>ROUND(SUM(Y71:Y77),5)</f>
        <v>2916.67</v>
      </c>
      <c r="Z78" s="70"/>
      <c r="AA78" s="70">
        <f t="shared" si="63"/>
        <v>5281.76</v>
      </c>
      <c r="AB78" s="70"/>
      <c r="AC78" s="33"/>
      <c r="AD78" s="34"/>
      <c r="AE78" s="34"/>
      <c r="AF78" s="146"/>
      <c r="AG78" s="147"/>
      <c r="AH78" s="148"/>
      <c r="AI78" s="148"/>
      <c r="AJ78" s="148">
        <v>44588.909999999989</v>
      </c>
      <c r="AK78" s="148"/>
      <c r="AL78" s="148">
        <v>35000</v>
      </c>
      <c r="AM78" s="148"/>
      <c r="AN78" s="148">
        <v>37591.54</v>
      </c>
      <c r="AO78" s="148"/>
      <c r="AP78" s="148">
        <v>19846.18</v>
      </c>
      <c r="AQ78" s="148"/>
      <c r="AR78" s="148">
        <f>ROUND(I78+Q78+Y78,5)</f>
        <v>8749.9699999999993</v>
      </c>
      <c r="AS78" s="148">
        <f t="shared" si="29"/>
        <v>39692.36</v>
      </c>
      <c r="AT78" s="148"/>
      <c r="AU78" s="149"/>
      <c r="AV78" s="93">
        <v>35000</v>
      </c>
      <c r="AW78" s="94"/>
      <c r="AX78" s="95">
        <f t="shared" si="31"/>
        <v>2591.5400000000009</v>
      </c>
      <c r="AY78" s="95"/>
      <c r="AZ78" s="93">
        <v>12855.85</v>
      </c>
      <c r="BA78" s="93"/>
      <c r="BB78" s="117"/>
      <c r="BC78" s="99"/>
      <c r="BD78" s="93">
        <v>35178.33</v>
      </c>
      <c r="BE78" s="93"/>
      <c r="BF78" s="93"/>
      <c r="BG78" s="93">
        <v>35000</v>
      </c>
      <c r="BH78" s="93"/>
      <c r="BI78" s="93">
        <v>47036.21</v>
      </c>
      <c r="BJ78" s="93"/>
      <c r="BK78" s="93">
        <v>35000</v>
      </c>
      <c r="BL78" s="93"/>
      <c r="BM78" s="101">
        <f t="shared" si="39"/>
        <v>0</v>
      </c>
      <c r="BN78" s="101"/>
      <c r="BO78" s="93">
        <v>16496.98</v>
      </c>
      <c r="BP78" s="93"/>
      <c r="BQ78" s="102">
        <f t="shared" si="57"/>
        <v>32993.96</v>
      </c>
      <c r="BR78" s="102"/>
      <c r="BS78" s="102">
        <f t="shared" si="51"/>
        <v>-2006.0400000000009</v>
      </c>
      <c r="BT78" s="101"/>
      <c r="BU78" s="93">
        <v>35000</v>
      </c>
      <c r="BV78" s="58"/>
      <c r="BW78" s="101">
        <f t="shared" si="15"/>
        <v>0</v>
      </c>
      <c r="BX78" s="58"/>
      <c r="BY78" s="90" t="s">
        <v>204</v>
      </c>
      <c r="BZ78" s="102">
        <f t="shared" si="32"/>
        <v>0</v>
      </c>
      <c r="CA78" s="102"/>
      <c r="CB78" s="93">
        <v>35000</v>
      </c>
      <c r="CC78" s="93"/>
      <c r="CD78" s="93">
        <v>35000</v>
      </c>
      <c r="CE78" s="93"/>
      <c r="CF78" s="93">
        <v>35000</v>
      </c>
      <c r="CG78" s="123"/>
      <c r="CH78" s="61">
        <f t="shared" si="58"/>
        <v>0</v>
      </c>
      <c r="CI78" s="200"/>
      <c r="CJ78" s="294"/>
    </row>
    <row r="79" spans="1:88" ht="16.5" customHeight="1" thickBot="1" x14ac:dyDescent="0.25">
      <c r="A79" s="4"/>
      <c r="B79" s="27"/>
      <c r="C79" s="28" t="s">
        <v>19</v>
      </c>
      <c r="D79" s="28"/>
      <c r="E79" s="29"/>
      <c r="F79" s="28"/>
      <c r="G79" s="30">
        <f>ROUND(SUM(G41:G42)+G50+G62+G70+G78,5)</f>
        <v>28721.71</v>
      </c>
      <c r="H79" s="31"/>
      <c r="I79" s="30">
        <f>ROUND(SUM(I41:I42)+I50+I62+I70+I78,5)</f>
        <v>28999.78</v>
      </c>
      <c r="J79" s="31"/>
      <c r="K79" s="30">
        <f t="shared" si="59"/>
        <v>-278.07</v>
      </c>
      <c r="L79" s="31"/>
      <c r="M79" s="32">
        <f t="shared" si="60"/>
        <v>0.99041000000000001</v>
      </c>
      <c r="N79" s="31"/>
      <c r="O79" s="30">
        <f>ROUND(SUM(O41:O42)+O50+O62+O70+O78,5)</f>
        <v>28649.19</v>
      </c>
      <c r="P79" s="31"/>
      <c r="Q79" s="30">
        <f>ROUND(SUM(Q41:Q42)+Q50+Q62+Q70+Q78,5)</f>
        <v>29000.02</v>
      </c>
      <c r="R79" s="31"/>
      <c r="S79" s="30">
        <f t="shared" si="61"/>
        <v>-350.83</v>
      </c>
      <c r="T79" s="31"/>
      <c r="U79" s="32">
        <f t="shared" si="62"/>
        <v>0.9879</v>
      </c>
      <c r="V79" s="31"/>
      <c r="W79" s="76">
        <f>W78+W70+W62+W50+W23+W42</f>
        <v>42482.720000000001</v>
      </c>
      <c r="X79" s="76"/>
      <c r="Y79" s="76">
        <f>Y78+Y70+Y62+Y50+Y23+Y42</f>
        <v>29666.689999999995</v>
      </c>
      <c r="Z79" s="76"/>
      <c r="AA79" s="76">
        <f t="shared" si="63"/>
        <v>12816.03</v>
      </c>
      <c r="AB79" s="76"/>
      <c r="AC79" s="76"/>
      <c r="AD79" s="77">
        <f>285000+74000</f>
        <v>359000</v>
      </c>
      <c r="AE79" s="77"/>
      <c r="AF79" s="150">
        <f>296124.2+68025.2</f>
        <v>364149.4</v>
      </c>
      <c r="AG79" s="151"/>
      <c r="AH79" s="152">
        <v>374000</v>
      </c>
      <c r="AI79" s="152"/>
      <c r="AJ79" s="152">
        <v>253888.69</v>
      </c>
      <c r="AK79" s="152"/>
      <c r="AL79" s="152">
        <f>AL42+AL23+AL50+AL62+AL70+AL78</f>
        <v>356000</v>
      </c>
      <c r="AM79" s="152"/>
      <c r="AN79" s="152">
        <f>AN23+AN50+AN62+AN70+AN78</f>
        <v>309905.49</v>
      </c>
      <c r="AO79" s="152"/>
      <c r="AP79" s="152">
        <f>AP78+AP70+AP62+AP50+AP23+AP42</f>
        <v>170275.48</v>
      </c>
      <c r="AQ79" s="152"/>
      <c r="AR79" s="152">
        <f>AR78+AR70+AR62+AR50+AR23+AR42</f>
        <v>88999.790000000008</v>
      </c>
      <c r="AS79" s="152">
        <f t="shared" si="29"/>
        <v>340550.96</v>
      </c>
      <c r="AT79" s="152"/>
      <c r="AU79" s="153"/>
      <c r="AV79" s="154">
        <f>AV78+AV70+AV62+AV50+AV23+AV42</f>
        <v>348300</v>
      </c>
      <c r="AW79" s="155"/>
      <c r="AX79" s="156">
        <f t="shared" si="31"/>
        <v>-46094.510000000009</v>
      </c>
      <c r="AY79" s="156"/>
      <c r="AZ79" s="156">
        <f>AZ42+AZ23+AZ50+AZ62++AZ70+AZ78</f>
        <v>143539.59</v>
      </c>
      <c r="BA79" s="154"/>
      <c r="BB79" s="114"/>
      <c r="BC79" s="157"/>
      <c r="BD79" s="79">
        <f>BD42+BD23+BD50+BD62+BD70+BD78</f>
        <v>323927.73000000004</v>
      </c>
      <c r="BE79" s="79"/>
      <c r="BF79" s="79"/>
      <c r="BG79" s="79">
        <f>SUM(BG42:BG78)</f>
        <v>336500</v>
      </c>
      <c r="BH79" s="79"/>
      <c r="BI79" s="79">
        <f>SUM(BI42:BI78)</f>
        <v>312667.95</v>
      </c>
      <c r="BJ79" s="79"/>
      <c r="BK79" s="79">
        <v>292515.42</v>
      </c>
      <c r="BL79" s="79"/>
      <c r="BM79" s="84">
        <f>SUM(BM42:BM78)</f>
        <v>-14000</v>
      </c>
      <c r="BN79" s="84"/>
      <c r="BO79" s="81">
        <f>BO42+BO50+BO62+BO70+BO78</f>
        <v>144428.02000000002</v>
      </c>
      <c r="BP79" s="81"/>
      <c r="BQ79" s="85">
        <v>288503.52</v>
      </c>
      <c r="BR79" s="85"/>
      <c r="BS79" s="85">
        <f t="shared" si="51"/>
        <v>-4011.8999999999651</v>
      </c>
      <c r="BT79" s="84"/>
      <c r="BU79" s="79">
        <f>BU42+BU50+BU62+BU70+BU78</f>
        <v>303500</v>
      </c>
      <c r="BV79" s="58"/>
      <c r="BW79" s="84">
        <f t="shared" si="15"/>
        <v>10984.580000000016</v>
      </c>
      <c r="BX79" s="58"/>
      <c r="BY79" s="91"/>
      <c r="BZ79" s="85">
        <v>288192.64000000001</v>
      </c>
      <c r="CA79" s="85"/>
      <c r="CB79" s="79">
        <v>315000</v>
      </c>
      <c r="CC79" s="79"/>
      <c r="CD79" s="79">
        <v>283402.58</v>
      </c>
      <c r="CE79" s="79"/>
      <c r="CF79" s="79">
        <v>300000</v>
      </c>
      <c r="CG79" s="83"/>
      <c r="CH79" s="61">
        <f t="shared" si="58"/>
        <v>-15000</v>
      </c>
      <c r="CI79" s="200"/>
      <c r="CJ79" s="293" t="s">
        <v>266</v>
      </c>
    </row>
    <row r="80" spans="1:88" ht="15.75" customHeight="1" x14ac:dyDescent="0.2">
      <c r="A80" s="4"/>
      <c r="B80" s="27"/>
      <c r="C80" s="28" t="s">
        <v>57</v>
      </c>
      <c r="D80" s="28"/>
      <c r="E80" s="29"/>
      <c r="F80" s="28"/>
      <c r="G80" s="30">
        <v>463.22</v>
      </c>
      <c r="H80" s="31"/>
      <c r="I80" s="30">
        <v>300</v>
      </c>
      <c r="J80" s="31"/>
      <c r="K80" s="30">
        <f t="shared" si="59"/>
        <v>163.22</v>
      </c>
      <c r="L80" s="31"/>
      <c r="M80" s="32">
        <f t="shared" si="60"/>
        <v>1.5440700000000001</v>
      </c>
      <c r="N80" s="31"/>
      <c r="O80" s="30">
        <v>462.77</v>
      </c>
      <c r="P80" s="31"/>
      <c r="Q80" s="30">
        <v>300</v>
      </c>
      <c r="R80" s="31"/>
      <c r="S80" s="30">
        <f t="shared" si="61"/>
        <v>162.77000000000001</v>
      </c>
      <c r="T80" s="31"/>
      <c r="U80" s="32">
        <f t="shared" si="62"/>
        <v>1.54257</v>
      </c>
      <c r="V80" s="31"/>
      <c r="W80" s="33">
        <v>427.81</v>
      </c>
      <c r="X80" s="33"/>
      <c r="Y80" s="33">
        <v>300</v>
      </c>
      <c r="Z80" s="33"/>
      <c r="AA80" s="33">
        <f t="shared" si="63"/>
        <v>127.81</v>
      </c>
      <c r="AB80" s="33"/>
      <c r="AC80" s="33"/>
      <c r="AD80" s="34">
        <v>1500</v>
      </c>
      <c r="AE80" s="34"/>
      <c r="AF80" s="39">
        <v>1165.23</v>
      </c>
      <c r="AG80" s="40"/>
      <c r="AH80" s="41">
        <v>1500</v>
      </c>
      <c r="AI80" s="41"/>
      <c r="AJ80" s="41">
        <v>3015.15</v>
      </c>
      <c r="AK80" s="41"/>
      <c r="AL80" s="41">
        <v>3600</v>
      </c>
      <c r="AM80" s="41"/>
      <c r="AN80" s="41">
        <v>5634.89</v>
      </c>
      <c r="AO80" s="41"/>
      <c r="AP80" s="41">
        <v>2878.48</v>
      </c>
      <c r="AQ80" s="41"/>
      <c r="AR80" s="41">
        <f>ROUND(I80+Q80+Y80,5)</f>
        <v>900</v>
      </c>
      <c r="AS80" s="41">
        <f t="shared" si="29"/>
        <v>5756.96</v>
      </c>
      <c r="AT80" s="41"/>
      <c r="AU80" s="42"/>
      <c r="AV80" s="79">
        <v>500</v>
      </c>
      <c r="AW80" s="80"/>
      <c r="AX80" s="81">
        <f t="shared" si="31"/>
        <v>2034.8900000000003</v>
      </c>
      <c r="AY80" s="88"/>
      <c r="AZ80" s="89">
        <v>2342.3200000000002</v>
      </c>
      <c r="BA80" s="79"/>
      <c r="BB80" s="114"/>
      <c r="BC80" s="83"/>
      <c r="BD80" s="54">
        <v>4969.4399999999996</v>
      </c>
      <c r="BE80" s="54"/>
      <c r="BF80" s="54"/>
      <c r="BG80" s="54">
        <v>3000</v>
      </c>
      <c r="BH80" s="54"/>
      <c r="BI80" s="57">
        <v>4517.9799999999996</v>
      </c>
      <c r="BJ80" s="54"/>
      <c r="BK80" s="54">
        <v>5000</v>
      </c>
      <c r="BL80" s="54"/>
      <c r="BM80" s="58">
        <f t="shared" ref="BM80:BM86" si="64">BK80-BG80</f>
        <v>2000</v>
      </c>
      <c r="BN80" s="58"/>
      <c r="BO80" s="54">
        <v>4042.64</v>
      </c>
      <c r="BP80" s="54"/>
      <c r="BQ80" s="66">
        <v>7097.95</v>
      </c>
      <c r="BR80" s="66"/>
      <c r="BS80" s="66">
        <f t="shared" si="51"/>
        <v>2097.9499999999998</v>
      </c>
      <c r="BT80" s="58"/>
      <c r="BU80" s="54">
        <v>3000</v>
      </c>
      <c r="BV80" s="58"/>
      <c r="BW80" s="58">
        <f t="shared" si="15"/>
        <v>-2000</v>
      </c>
      <c r="BX80" s="58"/>
      <c r="BY80" s="91" t="s">
        <v>267</v>
      </c>
      <c r="BZ80" s="66">
        <v>7176.05</v>
      </c>
      <c r="CA80" s="66"/>
      <c r="CB80" s="54">
        <v>7000</v>
      </c>
      <c r="CC80" s="54"/>
      <c r="CD80" s="54">
        <v>6428.16</v>
      </c>
      <c r="CE80" s="54"/>
      <c r="CF80" s="54">
        <v>7000</v>
      </c>
      <c r="CG80" s="60"/>
      <c r="CH80" s="61">
        <f t="shared" si="58"/>
        <v>0</v>
      </c>
      <c r="CI80" s="200"/>
      <c r="CJ80" s="295" t="s">
        <v>204</v>
      </c>
    </row>
    <row r="81" spans="1:88" ht="15.75" hidden="1" customHeight="1" x14ac:dyDescent="0.2">
      <c r="A81" s="4"/>
      <c r="B81" s="27"/>
      <c r="C81" s="28" t="s">
        <v>223</v>
      </c>
      <c r="D81" s="28"/>
      <c r="E81" s="29"/>
      <c r="F81" s="28"/>
      <c r="G81" s="30">
        <v>0</v>
      </c>
      <c r="H81" s="31"/>
      <c r="I81" s="30">
        <v>625</v>
      </c>
      <c r="J81" s="31"/>
      <c r="K81" s="30">
        <f t="shared" si="59"/>
        <v>-625</v>
      </c>
      <c r="L81" s="31"/>
      <c r="M81" s="32">
        <f t="shared" si="60"/>
        <v>0</v>
      </c>
      <c r="N81" s="31"/>
      <c r="O81" s="30">
        <v>1601</v>
      </c>
      <c r="P81" s="31"/>
      <c r="Q81" s="30">
        <v>625</v>
      </c>
      <c r="R81" s="31"/>
      <c r="S81" s="30">
        <f t="shared" si="61"/>
        <v>976</v>
      </c>
      <c r="T81" s="31"/>
      <c r="U81" s="32">
        <f t="shared" si="62"/>
        <v>2.5615999999999999</v>
      </c>
      <c r="V81" s="31"/>
      <c r="W81" s="33">
        <v>1021</v>
      </c>
      <c r="X81" s="33"/>
      <c r="Y81" s="33">
        <v>625</v>
      </c>
      <c r="Z81" s="33"/>
      <c r="AA81" s="33">
        <f t="shared" si="63"/>
        <v>396</v>
      </c>
      <c r="AB81" s="33"/>
      <c r="AC81" s="33"/>
      <c r="AD81" s="34">
        <v>25000</v>
      </c>
      <c r="AE81" s="34"/>
      <c r="AF81" s="49">
        <v>24040</v>
      </c>
      <c r="AG81" s="50"/>
      <c r="AH81" s="51">
        <v>7500</v>
      </c>
      <c r="AI81" s="51"/>
      <c r="AJ81" s="51">
        <v>31184.21</v>
      </c>
      <c r="AK81" s="51"/>
      <c r="AL81" s="51">
        <v>7500</v>
      </c>
      <c r="AM81" s="51"/>
      <c r="AN81" s="51">
        <v>7997</v>
      </c>
      <c r="AO81" s="51"/>
      <c r="AP81" s="51">
        <v>7272</v>
      </c>
      <c r="AQ81" s="51"/>
      <c r="AR81" s="51">
        <f>ROUND(I81+Q81+Y81,5)</f>
        <v>1875</v>
      </c>
      <c r="AS81" s="51">
        <f t="shared" si="29"/>
        <v>14544</v>
      </c>
      <c r="AT81" s="51"/>
      <c r="AU81" s="53"/>
      <c r="AV81" s="54">
        <v>7500</v>
      </c>
      <c r="AW81" s="55"/>
      <c r="AX81" s="56">
        <f t="shared" si="31"/>
        <v>497</v>
      </c>
      <c r="AY81" s="88"/>
      <c r="AZ81" s="89">
        <v>9454.82</v>
      </c>
      <c r="BA81" s="54"/>
      <c r="BB81" s="114"/>
      <c r="BC81" s="60"/>
      <c r="BD81" s="54">
        <v>9624.07</v>
      </c>
      <c r="BE81" s="54"/>
      <c r="BF81" s="54"/>
      <c r="BG81" s="54">
        <v>7500</v>
      </c>
      <c r="BH81" s="54"/>
      <c r="BI81" s="57">
        <f>1153.9+3666.59</f>
        <v>4820.49</v>
      </c>
      <c r="BJ81" s="54"/>
      <c r="BK81" s="54">
        <v>150</v>
      </c>
      <c r="BL81" s="54"/>
      <c r="BM81" s="58">
        <f t="shared" si="64"/>
        <v>-7350</v>
      </c>
      <c r="BN81" s="58"/>
      <c r="BO81" s="54">
        <v>75</v>
      </c>
      <c r="BP81" s="54"/>
      <c r="BQ81" s="66">
        <v>75</v>
      </c>
      <c r="BR81" s="66"/>
      <c r="BS81" s="66">
        <f t="shared" si="51"/>
        <v>-75</v>
      </c>
      <c r="BT81" s="58"/>
      <c r="BU81" s="54">
        <v>1500</v>
      </c>
      <c r="BV81" s="58"/>
      <c r="BW81" s="58">
        <f t="shared" si="15"/>
        <v>1350</v>
      </c>
      <c r="BX81" s="58"/>
      <c r="BY81" s="91" t="s">
        <v>268</v>
      </c>
      <c r="BZ81" s="66">
        <f>0</f>
        <v>0</v>
      </c>
      <c r="CA81" s="66"/>
      <c r="CB81" s="54">
        <v>0</v>
      </c>
      <c r="CC81" s="54"/>
      <c r="CD81" s="54">
        <v>0</v>
      </c>
      <c r="CE81" s="54"/>
      <c r="CF81" s="54">
        <v>0</v>
      </c>
      <c r="CG81" s="60"/>
      <c r="CH81" s="61">
        <f t="shared" si="58"/>
        <v>0</v>
      </c>
      <c r="CI81" s="200"/>
      <c r="CJ81" s="301" t="s">
        <v>269</v>
      </c>
    </row>
    <row r="82" spans="1:88" ht="18" customHeight="1" thickBot="1" x14ac:dyDescent="0.25">
      <c r="A82" s="4"/>
      <c r="B82" s="27"/>
      <c r="C82" s="28" t="s">
        <v>60</v>
      </c>
      <c r="D82" s="28"/>
      <c r="E82" s="29"/>
      <c r="F82" s="28"/>
      <c r="G82" s="30">
        <v>2566.2800000000002</v>
      </c>
      <c r="H82" s="31"/>
      <c r="I82" s="30">
        <v>2083.37</v>
      </c>
      <c r="J82" s="31"/>
      <c r="K82" s="30">
        <f t="shared" si="59"/>
        <v>482.91</v>
      </c>
      <c r="L82" s="31"/>
      <c r="M82" s="32">
        <f t="shared" si="60"/>
        <v>1.2317899999999999</v>
      </c>
      <c r="N82" s="31"/>
      <c r="O82" s="30">
        <v>6689.21</v>
      </c>
      <c r="P82" s="31"/>
      <c r="Q82" s="30">
        <v>2083.33</v>
      </c>
      <c r="R82" s="31"/>
      <c r="S82" s="30">
        <f t="shared" si="61"/>
        <v>4605.88</v>
      </c>
      <c r="T82" s="31"/>
      <c r="U82" s="32">
        <f t="shared" si="62"/>
        <v>3.2108300000000001</v>
      </c>
      <c r="V82" s="31"/>
      <c r="W82" s="33">
        <v>4002.26</v>
      </c>
      <c r="X82" s="33"/>
      <c r="Y82" s="33">
        <v>2083.33</v>
      </c>
      <c r="Z82" s="33"/>
      <c r="AA82" s="33">
        <f t="shared" si="63"/>
        <v>1918.93</v>
      </c>
      <c r="AB82" s="33"/>
      <c r="AC82" s="33"/>
      <c r="AD82" s="34">
        <v>50000</v>
      </c>
      <c r="AE82" s="34"/>
      <c r="AF82" s="49">
        <v>49544.22</v>
      </c>
      <c r="AG82" s="50"/>
      <c r="AH82" s="51">
        <v>50000</v>
      </c>
      <c r="AI82" s="51"/>
      <c r="AJ82" s="51">
        <v>25184.67</v>
      </c>
      <c r="AK82" s="51"/>
      <c r="AL82" s="51">
        <v>25000</v>
      </c>
      <c r="AM82" s="51"/>
      <c r="AN82" s="51">
        <v>25036.94</v>
      </c>
      <c r="AO82" s="51"/>
      <c r="AP82" s="51">
        <v>15946.3</v>
      </c>
      <c r="AQ82" s="51"/>
      <c r="AR82" s="51">
        <f>ROUND(I82+Q82+Y82,5)</f>
        <v>6250.03</v>
      </c>
      <c r="AS82" s="51">
        <f t="shared" si="29"/>
        <v>31892.6</v>
      </c>
      <c r="AT82" s="51"/>
      <c r="AU82" s="65"/>
      <c r="AV82" s="54">
        <v>25000</v>
      </c>
      <c r="AW82" s="55"/>
      <c r="AX82" s="56">
        <f t="shared" si="31"/>
        <v>36.93999999999869</v>
      </c>
      <c r="AY82" s="88"/>
      <c r="AZ82" s="89">
        <v>16876.3</v>
      </c>
      <c r="BA82" s="54"/>
      <c r="BB82" s="114"/>
      <c r="BC82" s="60"/>
      <c r="BD82" s="54">
        <v>31183.9</v>
      </c>
      <c r="BE82" s="54"/>
      <c r="BF82" s="54"/>
      <c r="BG82" s="54">
        <v>25000</v>
      </c>
      <c r="BH82" s="54"/>
      <c r="BI82" s="57">
        <v>31382.99</v>
      </c>
      <c r="BJ82" s="54"/>
      <c r="BK82" s="54">
        <v>22000</v>
      </c>
      <c r="BL82" s="54"/>
      <c r="BM82" s="58">
        <f t="shared" si="64"/>
        <v>-3000</v>
      </c>
      <c r="BN82" s="58"/>
      <c r="BO82" s="54">
        <v>10946.86</v>
      </c>
      <c r="BP82" s="54"/>
      <c r="BQ82" s="66">
        <v>20665.939999999999</v>
      </c>
      <c r="BR82" s="66"/>
      <c r="BS82" s="66">
        <f t="shared" si="51"/>
        <v>-1334.0600000000013</v>
      </c>
      <c r="BT82" s="58"/>
      <c r="BU82" s="54">
        <v>25000</v>
      </c>
      <c r="BV82" s="58"/>
      <c r="BW82" s="58">
        <f t="shared" ref="BW82:BW144" si="65">BU82-BK82</f>
        <v>3000</v>
      </c>
      <c r="BX82" s="58"/>
      <c r="BY82" s="91" t="s">
        <v>270</v>
      </c>
      <c r="BZ82" s="66">
        <v>31314.58</v>
      </c>
      <c r="CA82" s="66"/>
      <c r="CB82" s="54">
        <v>25000</v>
      </c>
      <c r="CC82" s="54"/>
      <c r="CD82" s="54">
        <v>26412.76</v>
      </c>
      <c r="CE82" s="54"/>
      <c r="CF82" s="54">
        <v>25000</v>
      </c>
      <c r="CG82" s="60"/>
      <c r="CH82" s="61">
        <f t="shared" si="58"/>
        <v>0</v>
      </c>
      <c r="CI82" s="200"/>
      <c r="CJ82" s="295" t="s">
        <v>228</v>
      </c>
    </row>
    <row r="83" spans="1:88" ht="18.75" hidden="1" customHeight="1" thickBot="1" x14ac:dyDescent="0.25">
      <c r="A83" s="4"/>
      <c r="B83" s="27"/>
      <c r="C83" s="28" t="s">
        <v>63</v>
      </c>
      <c r="D83" s="28"/>
      <c r="E83" s="29"/>
      <c r="F83" s="28"/>
      <c r="G83" s="30"/>
      <c r="H83" s="31"/>
      <c r="I83" s="30"/>
      <c r="J83" s="31"/>
      <c r="K83" s="30"/>
      <c r="L83" s="31"/>
      <c r="M83" s="32"/>
      <c r="N83" s="31"/>
      <c r="O83" s="30"/>
      <c r="P83" s="31"/>
      <c r="Q83" s="30"/>
      <c r="R83" s="31"/>
      <c r="S83" s="30"/>
      <c r="T83" s="31"/>
      <c r="U83" s="32"/>
      <c r="V83" s="31"/>
      <c r="W83" s="33"/>
      <c r="X83" s="33"/>
      <c r="Y83" s="33"/>
      <c r="Z83" s="33"/>
      <c r="AA83" s="33"/>
      <c r="AB83" s="33"/>
      <c r="AC83" s="33"/>
      <c r="AD83" s="34"/>
      <c r="AE83" s="34"/>
      <c r="AF83" s="49"/>
      <c r="AG83" s="50"/>
      <c r="AH83" s="51"/>
      <c r="AI83" s="51"/>
      <c r="AJ83" s="65"/>
      <c r="AK83" s="51"/>
      <c r="AL83" s="51"/>
      <c r="AM83" s="51"/>
      <c r="AN83" s="51"/>
      <c r="AO83" s="51"/>
      <c r="AP83" s="51"/>
      <c r="AQ83" s="51"/>
      <c r="AR83" s="51"/>
      <c r="AS83" s="51">
        <f t="shared" si="29"/>
        <v>0</v>
      </c>
      <c r="AT83" s="51"/>
      <c r="AU83" s="65"/>
      <c r="AV83" s="54"/>
      <c r="AW83" s="55"/>
      <c r="AX83" s="56"/>
      <c r="AY83" s="88"/>
      <c r="AZ83" s="89"/>
      <c r="BA83" s="54"/>
      <c r="BB83" s="114"/>
      <c r="BC83" s="60"/>
      <c r="BD83" s="54">
        <f t="shared" si="6"/>
        <v>0</v>
      </c>
      <c r="BE83" s="54"/>
      <c r="BF83" s="54"/>
      <c r="BG83" s="54"/>
      <c r="BH83" s="54"/>
      <c r="BI83" s="57"/>
      <c r="BJ83" s="54"/>
      <c r="BK83" s="54"/>
      <c r="BL83" s="54"/>
      <c r="BM83" s="58">
        <f t="shared" si="64"/>
        <v>0</v>
      </c>
      <c r="BN83" s="58"/>
      <c r="BO83" s="54"/>
      <c r="BP83" s="54"/>
      <c r="BQ83" s="66">
        <f t="shared" si="57"/>
        <v>0</v>
      </c>
      <c r="BR83" s="66"/>
      <c r="BS83" s="66">
        <f t="shared" si="51"/>
        <v>0</v>
      </c>
      <c r="BT83" s="58"/>
      <c r="BU83" s="54">
        <f>BM83-BI83</f>
        <v>0</v>
      </c>
      <c r="BV83" s="58"/>
      <c r="BW83" s="58">
        <f t="shared" si="65"/>
        <v>0</v>
      </c>
      <c r="BX83" s="58"/>
      <c r="BY83" s="91"/>
      <c r="BZ83" s="66">
        <f>BX83*2</f>
        <v>0</v>
      </c>
      <c r="CA83" s="66"/>
      <c r="CB83" s="54">
        <f t="shared" ref="CB83:CB85" si="66">BS83-BO83</f>
        <v>0</v>
      </c>
      <c r="CC83" s="54"/>
      <c r="CD83" s="54">
        <f>BT83-BP83</f>
        <v>0</v>
      </c>
      <c r="CE83" s="54"/>
      <c r="CF83" s="54">
        <f>BU83-BQ83</f>
        <v>0</v>
      </c>
      <c r="CG83" s="60"/>
      <c r="CH83" s="61">
        <f t="shared" si="58"/>
        <v>0</v>
      </c>
      <c r="CI83" s="200"/>
      <c r="CJ83" s="294"/>
    </row>
    <row r="84" spans="1:88" ht="18.75" hidden="1" customHeight="1" x14ac:dyDescent="0.2">
      <c r="A84" s="4"/>
      <c r="B84" s="27"/>
      <c r="C84" s="28"/>
      <c r="D84" s="348" t="s">
        <v>64</v>
      </c>
      <c r="E84" s="348"/>
      <c r="F84" s="348"/>
      <c r="G84" s="30">
        <v>2666.41</v>
      </c>
      <c r="H84" s="31"/>
      <c r="I84" s="30">
        <v>2333.37</v>
      </c>
      <c r="J84" s="31"/>
      <c r="K84" s="30">
        <f t="shared" ref="K84:K92" si="67">ROUND((G84-I84),5)</f>
        <v>333.04</v>
      </c>
      <c r="L84" s="31"/>
      <c r="M84" s="32">
        <f t="shared" ref="M84:M92" si="68">ROUND(IF(I84=0, IF(G84=0, 0, 1), G84/I84),5)</f>
        <v>1.14273</v>
      </c>
      <c r="N84" s="31"/>
      <c r="O84" s="30">
        <v>1714.38</v>
      </c>
      <c r="P84" s="31"/>
      <c r="Q84" s="30">
        <v>2333.33</v>
      </c>
      <c r="R84" s="31"/>
      <c r="S84" s="30">
        <f t="shared" ref="S84:S92" si="69">ROUND((O84-Q84),5)</f>
        <v>-618.95000000000005</v>
      </c>
      <c r="T84" s="31"/>
      <c r="U84" s="32">
        <f t="shared" ref="U84:U92" si="70">ROUND(IF(Q84=0, IF(O84=0, 0, 1), O84/Q84),5)</f>
        <v>0.73473999999999995</v>
      </c>
      <c r="V84" s="31"/>
      <c r="W84" s="33">
        <v>2445.09</v>
      </c>
      <c r="X84" s="33"/>
      <c r="Y84" s="33">
        <v>2333.33</v>
      </c>
      <c r="Z84" s="33"/>
      <c r="AA84" s="33">
        <f t="shared" ref="AA84:AA92" si="71">ROUND((W84-Y84),5)</f>
        <v>111.76</v>
      </c>
      <c r="AB84" s="33"/>
      <c r="AC84" s="33"/>
      <c r="AD84" s="34"/>
      <c r="AE84" s="34"/>
      <c r="AF84" s="49"/>
      <c r="AG84" s="50"/>
      <c r="AH84" s="51"/>
      <c r="AI84" s="51"/>
      <c r="AJ84" s="51">
        <v>16182.61</v>
      </c>
      <c r="AK84" s="51"/>
      <c r="AL84" s="51">
        <v>28000</v>
      </c>
      <c r="AM84" s="51"/>
      <c r="AN84" s="51">
        <v>28000</v>
      </c>
      <c r="AO84" s="51"/>
      <c r="AP84" s="51">
        <v>11810.78</v>
      </c>
      <c r="AQ84" s="51"/>
      <c r="AR84" s="51">
        <f t="shared" ref="AR84:AR91" si="72">ROUND(I84+Q84+Y84,5)</f>
        <v>7000.03</v>
      </c>
      <c r="AS84" s="51">
        <f t="shared" si="29"/>
        <v>23621.56</v>
      </c>
      <c r="AT84" s="51"/>
      <c r="AU84" s="65"/>
      <c r="AV84" s="54">
        <v>12000</v>
      </c>
      <c r="AW84" s="55"/>
      <c r="AX84" s="56">
        <f>AN84-AL84</f>
        <v>0</v>
      </c>
      <c r="AY84" s="88"/>
      <c r="AZ84" s="89">
        <v>5163.51</v>
      </c>
      <c r="BA84" s="54"/>
      <c r="BB84" s="114"/>
      <c r="BC84" s="60"/>
      <c r="BD84" s="54">
        <f t="shared" si="6"/>
        <v>10327.02</v>
      </c>
      <c r="BE84" s="54"/>
      <c r="BF84" s="54"/>
      <c r="BG84" s="54"/>
      <c r="BH84" s="54"/>
      <c r="BI84" s="57"/>
      <c r="BJ84" s="54"/>
      <c r="BK84" s="54"/>
      <c r="BL84" s="54"/>
      <c r="BM84" s="58">
        <f t="shared" si="64"/>
        <v>0</v>
      </c>
      <c r="BN84" s="58"/>
      <c r="BO84" s="54"/>
      <c r="BP84" s="54"/>
      <c r="BQ84" s="66">
        <f t="shared" si="57"/>
        <v>0</v>
      </c>
      <c r="BR84" s="66"/>
      <c r="BS84" s="66">
        <f t="shared" si="51"/>
        <v>0</v>
      </c>
      <c r="BT84" s="58"/>
      <c r="BU84" s="54">
        <f>BM84-BI84</f>
        <v>0</v>
      </c>
      <c r="BV84" s="58"/>
      <c r="BW84" s="58">
        <f t="shared" si="65"/>
        <v>0</v>
      </c>
      <c r="BX84" s="58"/>
      <c r="BY84" s="91"/>
      <c r="BZ84" s="66">
        <f>BX84*2</f>
        <v>0</v>
      </c>
      <c r="CA84" s="66"/>
      <c r="CB84" s="54">
        <f t="shared" si="66"/>
        <v>0</v>
      </c>
      <c r="CC84" s="54"/>
      <c r="CD84" s="54">
        <f>BT84-BP84</f>
        <v>0</v>
      </c>
      <c r="CE84" s="54"/>
      <c r="CF84" s="54">
        <f>BU84-BQ84</f>
        <v>0</v>
      </c>
      <c r="CG84" s="60"/>
      <c r="CH84" s="61">
        <f t="shared" si="58"/>
        <v>0</v>
      </c>
      <c r="CI84" s="200"/>
      <c r="CJ84" s="294"/>
    </row>
    <row r="85" spans="1:88" ht="4.5" hidden="1" customHeight="1" thickBot="1" x14ac:dyDescent="0.25">
      <c r="A85" s="4"/>
      <c r="B85" s="27"/>
      <c r="C85" s="28"/>
      <c r="D85" s="348" t="s">
        <v>65</v>
      </c>
      <c r="E85" s="348"/>
      <c r="F85" s="348"/>
      <c r="G85" s="68">
        <v>179.85</v>
      </c>
      <c r="H85" s="31"/>
      <c r="I85" s="68">
        <v>0</v>
      </c>
      <c r="J85" s="31"/>
      <c r="K85" s="68">
        <f t="shared" si="67"/>
        <v>179.85</v>
      </c>
      <c r="L85" s="31"/>
      <c r="M85" s="69">
        <f t="shared" si="68"/>
        <v>1</v>
      </c>
      <c r="N85" s="31"/>
      <c r="O85" s="68">
        <v>161.61000000000001</v>
      </c>
      <c r="P85" s="31"/>
      <c r="Q85" s="68">
        <v>0</v>
      </c>
      <c r="R85" s="31"/>
      <c r="S85" s="68">
        <f t="shared" si="69"/>
        <v>161.61000000000001</v>
      </c>
      <c r="T85" s="31"/>
      <c r="U85" s="69">
        <f t="shared" si="70"/>
        <v>1</v>
      </c>
      <c r="V85" s="31"/>
      <c r="W85" s="33">
        <v>326.61</v>
      </c>
      <c r="X85" s="33"/>
      <c r="Y85" s="33">
        <v>300</v>
      </c>
      <c r="Z85" s="33"/>
      <c r="AA85" s="33">
        <f t="shared" si="71"/>
        <v>26.61</v>
      </c>
      <c r="AB85" s="33"/>
      <c r="AC85" s="33"/>
      <c r="AD85" s="34"/>
      <c r="AE85" s="34"/>
      <c r="AF85" s="49"/>
      <c r="AG85" s="50"/>
      <c r="AH85" s="51"/>
      <c r="AI85" s="51"/>
      <c r="AJ85" s="51">
        <v>899.4</v>
      </c>
      <c r="AK85" s="51"/>
      <c r="AL85" s="51">
        <v>1200</v>
      </c>
      <c r="AM85" s="51"/>
      <c r="AN85" s="51">
        <v>1200</v>
      </c>
      <c r="AO85" s="51"/>
      <c r="AP85" s="51">
        <v>847.92</v>
      </c>
      <c r="AQ85" s="51"/>
      <c r="AR85" s="51">
        <f t="shared" si="72"/>
        <v>300</v>
      </c>
      <c r="AS85" s="51">
        <f t="shared" si="29"/>
        <v>1695.84</v>
      </c>
      <c r="AT85" s="51"/>
      <c r="AU85" s="65"/>
      <c r="AV85" s="54">
        <v>1200</v>
      </c>
      <c r="AW85" s="55"/>
      <c r="AX85" s="56">
        <f>AN85-AL85</f>
        <v>0</v>
      </c>
      <c r="AY85" s="88"/>
      <c r="AZ85" s="89">
        <v>286.27999999999997</v>
      </c>
      <c r="BA85" s="54"/>
      <c r="BB85" s="114"/>
      <c r="BC85" s="60"/>
      <c r="BD85" s="54">
        <f t="shared" si="6"/>
        <v>572.55999999999995</v>
      </c>
      <c r="BE85" s="54"/>
      <c r="BF85" s="54"/>
      <c r="BG85" s="54"/>
      <c r="BH85" s="54"/>
      <c r="BI85" s="57"/>
      <c r="BJ85" s="54"/>
      <c r="BK85" s="54"/>
      <c r="BL85" s="54"/>
      <c r="BM85" s="58">
        <f t="shared" si="64"/>
        <v>0</v>
      </c>
      <c r="BN85" s="58"/>
      <c r="BO85" s="54"/>
      <c r="BP85" s="54"/>
      <c r="BQ85" s="66">
        <f t="shared" si="57"/>
        <v>0</v>
      </c>
      <c r="BR85" s="66"/>
      <c r="BS85" s="66">
        <f t="shared" si="51"/>
        <v>0</v>
      </c>
      <c r="BT85" s="58"/>
      <c r="BU85" s="54">
        <f>BM85-BI85</f>
        <v>0</v>
      </c>
      <c r="BV85" s="58"/>
      <c r="BW85" s="58">
        <f t="shared" si="65"/>
        <v>0</v>
      </c>
      <c r="BX85" s="58"/>
      <c r="BY85" s="91"/>
      <c r="BZ85" s="66">
        <f>BX85*2</f>
        <v>0</v>
      </c>
      <c r="CA85" s="66"/>
      <c r="CB85" s="54">
        <f t="shared" si="66"/>
        <v>0</v>
      </c>
      <c r="CC85" s="54"/>
      <c r="CD85" s="54">
        <f>BT85-BP85</f>
        <v>0</v>
      </c>
      <c r="CE85" s="54"/>
      <c r="CF85" s="54">
        <f>BU85-BQ85</f>
        <v>0</v>
      </c>
      <c r="CG85" s="60"/>
      <c r="CH85" s="61">
        <f t="shared" si="58"/>
        <v>0</v>
      </c>
      <c r="CI85" s="200"/>
      <c r="CJ85" s="294"/>
    </row>
    <row r="86" spans="1:88" ht="15.75" customHeight="1" thickBot="1" x14ac:dyDescent="0.25">
      <c r="A86" s="4"/>
      <c r="B86" s="27"/>
      <c r="C86" s="354" t="s">
        <v>63</v>
      </c>
      <c r="D86" s="354"/>
      <c r="E86" s="354"/>
      <c r="F86" s="354"/>
      <c r="G86" s="119">
        <f>ROUND(SUM(G83:G85),5)</f>
        <v>2846.26</v>
      </c>
      <c r="H86" s="120"/>
      <c r="I86" s="119">
        <f>ROUND(SUM(I83:I85),5)</f>
        <v>2333.37</v>
      </c>
      <c r="J86" s="120"/>
      <c r="K86" s="119">
        <f t="shared" si="67"/>
        <v>512.89</v>
      </c>
      <c r="L86" s="120"/>
      <c r="M86" s="121">
        <f t="shared" si="68"/>
        <v>1.2198100000000001</v>
      </c>
      <c r="N86" s="120"/>
      <c r="O86" s="119">
        <f>ROUND(SUM(O83:O85),5)</f>
        <v>1875.99</v>
      </c>
      <c r="P86" s="120"/>
      <c r="Q86" s="119">
        <f>ROUND(SUM(Q83:Q85),5)</f>
        <v>2333.33</v>
      </c>
      <c r="R86" s="120"/>
      <c r="S86" s="119">
        <f t="shared" si="69"/>
        <v>-457.34</v>
      </c>
      <c r="T86" s="120"/>
      <c r="U86" s="121">
        <f t="shared" si="70"/>
        <v>0.80400000000000005</v>
      </c>
      <c r="V86" s="120"/>
      <c r="W86" s="77">
        <f>ROUND(SUM(W83:W85),5)</f>
        <v>2771.7</v>
      </c>
      <c r="X86" s="77"/>
      <c r="Y86" s="77">
        <f>ROUND(SUM(Y83:Y85),5)</f>
        <v>2633.33</v>
      </c>
      <c r="Z86" s="77"/>
      <c r="AA86" s="77">
        <f t="shared" si="71"/>
        <v>138.37</v>
      </c>
      <c r="AB86" s="77"/>
      <c r="AC86" s="77"/>
      <c r="AD86" s="77">
        <v>18000</v>
      </c>
      <c r="AE86" s="34"/>
      <c r="AF86" s="49">
        <v>16386.68</v>
      </c>
      <c r="AG86" s="50"/>
      <c r="AH86" s="54">
        <v>18000</v>
      </c>
      <c r="AI86" s="54"/>
      <c r="AJ86" s="54">
        <v>17082.010000000002</v>
      </c>
      <c r="AK86" s="54"/>
      <c r="AL86" s="54">
        <f>AL84+AL85</f>
        <v>29200</v>
      </c>
      <c r="AM86" s="54"/>
      <c r="AN86" s="54">
        <v>15913.26</v>
      </c>
      <c r="AO86" s="54"/>
      <c r="AP86" s="54">
        <f>AP84+AP85</f>
        <v>12658.7</v>
      </c>
      <c r="AQ86" s="54"/>
      <c r="AR86" s="54">
        <f>AR84+AR85</f>
        <v>7300.03</v>
      </c>
      <c r="AS86" s="54">
        <f t="shared" si="29"/>
        <v>25317.4</v>
      </c>
      <c r="AT86" s="54"/>
      <c r="AU86" s="53"/>
      <c r="AV86" s="54">
        <f>AV84+AV85</f>
        <v>13200</v>
      </c>
      <c r="AW86" s="55"/>
      <c r="AX86" s="56">
        <f>AN86-AL86</f>
        <v>-13286.74</v>
      </c>
      <c r="AY86" s="88"/>
      <c r="AZ86" s="89">
        <v>5449.79</v>
      </c>
      <c r="BA86" s="60"/>
      <c r="BB86" s="114"/>
      <c r="BC86" s="132"/>
      <c r="BD86" s="54">
        <f>12174.26</f>
        <v>12174.26</v>
      </c>
      <c r="BE86" s="54"/>
      <c r="BF86" s="54"/>
      <c r="BG86" s="54">
        <v>13200</v>
      </c>
      <c r="BH86" s="54"/>
      <c r="BI86" s="57">
        <v>9874.11</v>
      </c>
      <c r="BJ86" s="54"/>
      <c r="BK86" s="54">
        <v>12500</v>
      </c>
      <c r="BL86" s="54"/>
      <c r="BM86" s="58">
        <f t="shared" si="64"/>
        <v>-700</v>
      </c>
      <c r="BN86" s="58"/>
      <c r="BO86" s="54">
        <v>6057.95</v>
      </c>
      <c r="BP86" s="54"/>
      <c r="BQ86" s="66">
        <v>9889.3700000000008</v>
      </c>
      <c r="BR86" s="66"/>
      <c r="BS86" s="66">
        <f t="shared" si="51"/>
        <v>-2610.6299999999992</v>
      </c>
      <c r="BT86" s="58"/>
      <c r="BU86" s="54">
        <v>13200</v>
      </c>
      <c r="BV86" s="58"/>
      <c r="BW86" s="58">
        <f t="shared" si="65"/>
        <v>700</v>
      </c>
      <c r="BX86" s="58"/>
      <c r="BY86" s="91" t="s">
        <v>271</v>
      </c>
      <c r="BZ86" s="66">
        <v>6059.65</v>
      </c>
      <c r="CA86" s="66"/>
      <c r="CB86" s="54">
        <v>13200</v>
      </c>
      <c r="CC86" s="54"/>
      <c r="CD86" s="54">
        <v>8203.16</v>
      </c>
      <c r="CE86" s="54"/>
      <c r="CF86" s="54">
        <v>10000</v>
      </c>
      <c r="CG86" s="60"/>
      <c r="CH86" s="61">
        <f t="shared" si="58"/>
        <v>-3200</v>
      </c>
      <c r="CI86" s="200"/>
      <c r="CJ86" s="293" t="s">
        <v>272</v>
      </c>
    </row>
    <row r="87" spans="1:88" ht="12.75" customHeight="1" x14ac:dyDescent="0.2">
      <c r="A87" s="4"/>
      <c r="B87" s="27"/>
      <c r="C87" s="28" t="s">
        <v>66</v>
      </c>
      <c r="D87" s="28"/>
      <c r="E87" s="29"/>
      <c r="F87" s="28"/>
      <c r="G87" s="30">
        <v>246.16</v>
      </c>
      <c r="H87" s="31"/>
      <c r="I87" s="30">
        <v>416.63</v>
      </c>
      <c r="J87" s="31"/>
      <c r="K87" s="30">
        <f t="shared" si="67"/>
        <v>-170.47</v>
      </c>
      <c r="L87" s="31"/>
      <c r="M87" s="32">
        <f t="shared" si="68"/>
        <v>0.59084000000000003</v>
      </c>
      <c r="N87" s="31"/>
      <c r="O87" s="30">
        <v>0</v>
      </c>
      <c r="P87" s="31"/>
      <c r="Q87" s="30">
        <v>416.67</v>
      </c>
      <c r="R87" s="31"/>
      <c r="S87" s="30">
        <f t="shared" si="69"/>
        <v>-416.67</v>
      </c>
      <c r="T87" s="31"/>
      <c r="U87" s="32">
        <f t="shared" si="70"/>
        <v>0</v>
      </c>
      <c r="V87" s="31"/>
      <c r="W87" s="33">
        <v>188.25</v>
      </c>
      <c r="X87" s="33"/>
      <c r="Y87" s="33">
        <v>416.67</v>
      </c>
      <c r="Z87" s="33"/>
      <c r="AA87" s="33">
        <f t="shared" si="71"/>
        <v>-228.42</v>
      </c>
      <c r="AB87" s="33"/>
      <c r="AC87" s="33"/>
      <c r="AD87" s="34">
        <v>5500</v>
      </c>
      <c r="AE87" s="34"/>
      <c r="AF87" s="49">
        <v>6143.62</v>
      </c>
      <c r="AG87" s="50"/>
      <c r="AH87" s="51">
        <v>7500</v>
      </c>
      <c r="AI87" s="51"/>
      <c r="AJ87" s="51">
        <v>2254</v>
      </c>
      <c r="AK87" s="51"/>
      <c r="AL87" s="51">
        <v>5000</v>
      </c>
      <c r="AM87" s="51"/>
      <c r="AN87" s="51">
        <v>4275.3</v>
      </c>
      <c r="AO87" s="51"/>
      <c r="AP87" s="51">
        <v>2520.61</v>
      </c>
      <c r="AQ87" s="51"/>
      <c r="AR87" s="51">
        <f t="shared" si="72"/>
        <v>1249.97</v>
      </c>
      <c r="AS87" s="51">
        <f t="shared" si="29"/>
        <v>5041.22</v>
      </c>
      <c r="AT87" s="51"/>
      <c r="AU87" s="65"/>
      <c r="AV87" s="54">
        <v>5000</v>
      </c>
      <c r="AW87" s="55"/>
      <c r="AX87" s="56">
        <f>AN87-AL87</f>
        <v>-724.69999999999982</v>
      </c>
      <c r="AY87" s="88"/>
      <c r="AZ87" s="89">
        <v>3542.65</v>
      </c>
      <c r="BA87" s="54"/>
      <c r="BB87" s="114"/>
      <c r="BC87" s="60"/>
      <c r="BD87" s="54">
        <v>6114.65</v>
      </c>
      <c r="BE87" s="54"/>
      <c r="BF87" s="54"/>
      <c r="BG87" s="54">
        <v>5000</v>
      </c>
      <c r="BH87" s="54"/>
      <c r="BI87" s="57">
        <v>18324.62</v>
      </c>
      <c r="BJ87" s="54"/>
      <c r="BK87" s="54">
        <v>8000</v>
      </c>
      <c r="BL87" s="54"/>
      <c r="BM87" s="58">
        <v>7000</v>
      </c>
      <c r="BN87" s="58"/>
      <c r="BO87" s="54">
        <v>7774.91</v>
      </c>
      <c r="BP87" s="54"/>
      <c r="BQ87" s="66">
        <v>9323.3700000000008</v>
      </c>
      <c r="BR87" s="66"/>
      <c r="BS87" s="66">
        <f t="shared" si="51"/>
        <v>1323.3700000000008</v>
      </c>
      <c r="BT87" s="58"/>
      <c r="BU87" s="54">
        <v>12000</v>
      </c>
      <c r="BV87" s="58"/>
      <c r="BW87" s="58">
        <f t="shared" si="65"/>
        <v>4000</v>
      </c>
      <c r="BX87" s="58"/>
      <c r="BY87" s="91" t="s">
        <v>273</v>
      </c>
      <c r="BZ87" s="66">
        <v>12473.5</v>
      </c>
      <c r="CA87" s="66"/>
      <c r="CB87" s="54">
        <v>12000</v>
      </c>
      <c r="CC87" s="54"/>
      <c r="CD87" s="54">
        <v>11315.36</v>
      </c>
      <c r="CE87" s="54"/>
      <c r="CF87" s="54">
        <v>12000</v>
      </c>
      <c r="CG87" s="60"/>
      <c r="CH87" s="61">
        <f t="shared" si="58"/>
        <v>0</v>
      </c>
      <c r="CI87" s="200"/>
      <c r="CJ87" s="295" t="s">
        <v>204</v>
      </c>
    </row>
    <row r="88" spans="1:88" ht="16.5" customHeight="1" x14ac:dyDescent="0.2">
      <c r="A88" s="4"/>
      <c r="B88" s="27"/>
      <c r="C88" s="28" t="s">
        <v>67</v>
      </c>
      <c r="D88" s="28"/>
      <c r="E88" s="29"/>
      <c r="F88" s="28"/>
      <c r="G88" s="30">
        <v>112.54</v>
      </c>
      <c r="H88" s="31"/>
      <c r="I88" s="30">
        <v>166.63</v>
      </c>
      <c r="J88" s="31"/>
      <c r="K88" s="30">
        <f t="shared" si="67"/>
        <v>-54.09</v>
      </c>
      <c r="L88" s="31"/>
      <c r="M88" s="32">
        <f t="shared" si="68"/>
        <v>0.67539000000000005</v>
      </c>
      <c r="N88" s="31"/>
      <c r="O88" s="30">
        <v>1545.01</v>
      </c>
      <c r="P88" s="31"/>
      <c r="Q88" s="30">
        <v>166.67</v>
      </c>
      <c r="R88" s="31"/>
      <c r="S88" s="30">
        <f t="shared" si="69"/>
        <v>1378.34</v>
      </c>
      <c r="T88" s="31"/>
      <c r="U88" s="32">
        <f t="shared" si="70"/>
        <v>9.2698699999999992</v>
      </c>
      <c r="V88" s="31"/>
      <c r="W88" s="33">
        <v>3</v>
      </c>
      <c r="X88" s="33"/>
      <c r="Y88" s="33">
        <v>166.67</v>
      </c>
      <c r="Z88" s="33"/>
      <c r="AA88" s="33">
        <f t="shared" si="71"/>
        <v>-163.66999999999999</v>
      </c>
      <c r="AB88" s="33"/>
      <c r="AC88" s="33"/>
      <c r="AD88" s="34">
        <v>2000</v>
      </c>
      <c r="AE88" s="34"/>
      <c r="AF88" s="49">
        <v>1738.15</v>
      </c>
      <c r="AG88" s="50"/>
      <c r="AH88" s="51">
        <v>2000</v>
      </c>
      <c r="AI88" s="51"/>
      <c r="AJ88" s="51">
        <v>1576.56</v>
      </c>
      <c r="AK88" s="51"/>
      <c r="AL88" s="51">
        <v>2000</v>
      </c>
      <c r="AM88" s="51"/>
      <c r="AN88" s="51">
        <v>5998.21</v>
      </c>
      <c r="AO88" s="51"/>
      <c r="AP88" s="51">
        <v>5158</v>
      </c>
      <c r="AQ88" s="51"/>
      <c r="AR88" s="51">
        <f t="shared" si="72"/>
        <v>499.97</v>
      </c>
      <c r="AS88" s="51">
        <f t="shared" si="29"/>
        <v>10316</v>
      </c>
      <c r="AT88" s="51"/>
      <c r="AU88" s="65"/>
      <c r="AV88" s="54">
        <v>2000</v>
      </c>
      <c r="AW88" s="55"/>
      <c r="AX88" s="56">
        <f>AN88-AL88</f>
        <v>3998.21</v>
      </c>
      <c r="AY88" s="88"/>
      <c r="AZ88" s="89">
        <v>2094.84</v>
      </c>
      <c r="BA88" s="54"/>
      <c r="BB88" s="114"/>
      <c r="BC88" s="60"/>
      <c r="BD88" s="54">
        <v>5564.97</v>
      </c>
      <c r="BE88" s="54"/>
      <c r="BF88" s="54"/>
      <c r="BG88" s="54">
        <v>2000</v>
      </c>
      <c r="BH88" s="54"/>
      <c r="BI88" s="57">
        <v>912.05</v>
      </c>
      <c r="BJ88" s="54"/>
      <c r="BK88" s="54">
        <v>4000</v>
      </c>
      <c r="BL88" s="54"/>
      <c r="BM88" s="58">
        <f>BK88-BG88</f>
        <v>2000</v>
      </c>
      <c r="BN88" s="58"/>
      <c r="BO88" s="54">
        <v>3972.7</v>
      </c>
      <c r="BP88" s="54"/>
      <c r="BQ88" s="66">
        <v>5092.6400000000003</v>
      </c>
      <c r="BR88" s="66"/>
      <c r="BS88" s="66">
        <f t="shared" si="51"/>
        <v>1092.6400000000003</v>
      </c>
      <c r="BT88" s="58"/>
      <c r="BU88" s="54">
        <v>2000</v>
      </c>
      <c r="BV88" s="58"/>
      <c r="BW88" s="58">
        <f t="shared" si="65"/>
        <v>-2000</v>
      </c>
      <c r="BX88" s="58"/>
      <c r="BY88" s="90" t="s">
        <v>206</v>
      </c>
      <c r="BZ88" s="66">
        <v>711.25</v>
      </c>
      <c r="CA88" s="66"/>
      <c r="CB88" s="54">
        <v>3500</v>
      </c>
      <c r="CC88" s="54"/>
      <c r="CD88" s="54">
        <v>4454.24</v>
      </c>
      <c r="CE88" s="54"/>
      <c r="CF88" s="54">
        <v>3500</v>
      </c>
      <c r="CG88" s="60"/>
      <c r="CH88" s="61">
        <f t="shared" si="58"/>
        <v>0</v>
      </c>
      <c r="CI88" s="200"/>
      <c r="CJ88" s="295" t="s">
        <v>204</v>
      </c>
    </row>
    <row r="89" spans="1:88" ht="1.5" hidden="1" customHeight="1" x14ac:dyDescent="0.2">
      <c r="A89" s="4"/>
      <c r="B89" s="27"/>
      <c r="C89" s="28" t="s">
        <v>156</v>
      </c>
      <c r="D89" s="28"/>
      <c r="E89" s="29"/>
      <c r="F89" s="28"/>
      <c r="G89" s="30"/>
      <c r="H89" s="31"/>
      <c r="I89" s="30"/>
      <c r="J89" s="31"/>
      <c r="K89" s="30"/>
      <c r="L89" s="31"/>
      <c r="M89" s="32"/>
      <c r="N89" s="31"/>
      <c r="O89" s="30"/>
      <c r="P89" s="31"/>
      <c r="Q89" s="30"/>
      <c r="R89" s="31"/>
      <c r="S89" s="30"/>
      <c r="T89" s="31"/>
      <c r="U89" s="32"/>
      <c r="V89" s="31"/>
      <c r="W89" s="33"/>
      <c r="X89" s="33"/>
      <c r="Y89" s="33"/>
      <c r="Z89" s="33"/>
      <c r="AA89" s="33"/>
      <c r="AB89" s="33"/>
      <c r="AC89" s="33"/>
      <c r="AD89" s="34"/>
      <c r="AE89" s="34"/>
      <c r="AF89" s="49"/>
      <c r="AG89" s="50"/>
      <c r="AH89" s="51"/>
      <c r="AI89" s="51"/>
      <c r="AJ89" s="51"/>
      <c r="AK89" s="51"/>
      <c r="AL89" s="51"/>
      <c r="AM89" s="51"/>
      <c r="AN89" s="51"/>
      <c r="AO89" s="51"/>
      <c r="AP89" s="51"/>
      <c r="AQ89" s="51"/>
      <c r="AR89" s="51"/>
      <c r="AS89" s="51"/>
      <c r="AT89" s="51"/>
      <c r="AU89" s="65"/>
      <c r="AV89" s="54">
        <v>5000</v>
      </c>
      <c r="AW89" s="55"/>
      <c r="AX89" s="56"/>
      <c r="AY89" s="88"/>
      <c r="AZ89" s="89">
        <v>0</v>
      </c>
      <c r="BA89" s="54"/>
      <c r="BB89" s="114"/>
      <c r="BC89" s="60"/>
      <c r="BD89" s="54">
        <v>2191.5</v>
      </c>
      <c r="BE89" s="54"/>
      <c r="BF89" s="54"/>
      <c r="BG89" s="54">
        <v>2500</v>
      </c>
      <c r="BH89" s="54"/>
      <c r="BI89" s="57">
        <v>2440.4499999999998</v>
      </c>
      <c r="BJ89" s="54"/>
      <c r="BK89" s="54">
        <v>0</v>
      </c>
      <c r="BL89" s="54"/>
      <c r="BM89" s="58">
        <f>BK89-BG89</f>
        <v>-2500</v>
      </c>
      <c r="BN89" s="58"/>
      <c r="BO89" s="54"/>
      <c r="BP89" s="54"/>
      <c r="BQ89" s="66">
        <f t="shared" si="57"/>
        <v>0</v>
      </c>
      <c r="BR89" s="66"/>
      <c r="BS89" s="66">
        <f t="shared" si="51"/>
        <v>0</v>
      </c>
      <c r="BT89" s="58"/>
      <c r="BU89" s="54">
        <v>0</v>
      </c>
      <c r="BV89" s="58"/>
      <c r="BW89" s="58">
        <f t="shared" si="65"/>
        <v>0</v>
      </c>
      <c r="BX89" s="58"/>
      <c r="BY89" s="91"/>
      <c r="BZ89" s="66">
        <f>BX89*2</f>
        <v>0</v>
      </c>
      <c r="CA89" s="66"/>
      <c r="CB89" s="54">
        <v>0</v>
      </c>
      <c r="CC89" s="54"/>
      <c r="CD89" s="54">
        <v>0</v>
      </c>
      <c r="CE89" s="54"/>
      <c r="CF89" s="54">
        <v>0</v>
      </c>
      <c r="CG89" s="60"/>
      <c r="CH89" s="61">
        <f t="shared" si="58"/>
        <v>0</v>
      </c>
      <c r="CI89" s="200"/>
      <c r="CJ89" s="294"/>
    </row>
    <row r="90" spans="1:88" ht="22.5" customHeight="1" x14ac:dyDescent="0.2">
      <c r="A90" s="4"/>
      <c r="B90" s="27"/>
      <c r="C90" s="28" t="s">
        <v>62</v>
      </c>
      <c r="D90" s="28"/>
      <c r="E90" s="29"/>
      <c r="F90" s="28"/>
      <c r="G90" s="30">
        <v>494</v>
      </c>
      <c r="H90" s="31"/>
      <c r="I90" s="30">
        <v>416.63</v>
      </c>
      <c r="J90" s="31"/>
      <c r="K90" s="30">
        <f>ROUND((G90-I90),5)</f>
        <v>77.37</v>
      </c>
      <c r="L90" s="31"/>
      <c r="M90" s="32">
        <f>ROUND(IF(I90=0, IF(G90=0, 0, 1), G90/I90),5)</f>
        <v>1.1857</v>
      </c>
      <c r="N90" s="31"/>
      <c r="O90" s="30">
        <v>0</v>
      </c>
      <c r="P90" s="31"/>
      <c r="Q90" s="30">
        <v>416.67</v>
      </c>
      <c r="R90" s="31"/>
      <c r="S90" s="30">
        <f>ROUND((O90-Q90),5)</f>
        <v>-416.67</v>
      </c>
      <c r="T90" s="31"/>
      <c r="U90" s="32">
        <f>ROUND(IF(Q90=0, IF(O90=0, 0, 1), O90/Q90),5)</f>
        <v>0</v>
      </c>
      <c r="V90" s="31"/>
      <c r="W90" s="33">
        <v>403.81</v>
      </c>
      <c r="X90" s="33"/>
      <c r="Y90" s="33">
        <v>416.67</v>
      </c>
      <c r="Z90" s="33"/>
      <c r="AA90" s="33">
        <f>ROUND((W90-Y90),5)</f>
        <v>-12.86</v>
      </c>
      <c r="AB90" s="33"/>
      <c r="AC90" s="33"/>
      <c r="AD90" s="34">
        <v>2400</v>
      </c>
      <c r="AE90" s="34"/>
      <c r="AF90" s="49">
        <f>228.85+1696.01</f>
        <v>1924.86</v>
      </c>
      <c r="AG90" s="50"/>
      <c r="AH90" s="51">
        <v>6000</v>
      </c>
      <c r="AI90" s="51"/>
      <c r="AJ90" s="51">
        <v>-68.489999999999995</v>
      </c>
      <c r="AK90" s="51"/>
      <c r="AL90" s="51">
        <v>5000</v>
      </c>
      <c r="AM90" s="51"/>
      <c r="AN90" s="51">
        <v>13825.16</v>
      </c>
      <c r="AO90" s="51"/>
      <c r="AP90" s="51">
        <v>8254.0300000000007</v>
      </c>
      <c r="AQ90" s="51"/>
      <c r="AR90" s="51">
        <f>ROUND(I90+Q90+Y90,5)</f>
        <v>1249.97</v>
      </c>
      <c r="AS90" s="51">
        <f>AP90*2</f>
        <v>16508.060000000001</v>
      </c>
      <c r="AT90" s="51"/>
      <c r="AU90" s="53"/>
      <c r="AV90" s="54">
        <v>10000</v>
      </c>
      <c r="AW90" s="55"/>
      <c r="AX90" s="56">
        <f>AN90-AL90</f>
        <v>8825.16</v>
      </c>
      <c r="AY90" s="88"/>
      <c r="AZ90" s="89">
        <v>782.52</v>
      </c>
      <c r="BA90" s="54"/>
      <c r="BB90" s="114"/>
      <c r="BC90" s="60"/>
      <c r="BD90" s="54">
        <v>8890.6299999999992</v>
      </c>
      <c r="BE90" s="54"/>
      <c r="BF90" s="54"/>
      <c r="BG90" s="54">
        <v>10000</v>
      </c>
      <c r="BH90" s="54"/>
      <c r="BI90" s="57">
        <v>17626.38</v>
      </c>
      <c r="BJ90" s="54"/>
      <c r="BK90" s="54">
        <v>0</v>
      </c>
      <c r="BL90" s="54"/>
      <c r="BM90" s="58">
        <f>BK90-BG90</f>
        <v>-10000</v>
      </c>
      <c r="BN90" s="58"/>
      <c r="BO90" s="54">
        <v>0</v>
      </c>
      <c r="BP90" s="54"/>
      <c r="BQ90" s="66">
        <v>1692</v>
      </c>
      <c r="BR90" s="66"/>
      <c r="BS90" s="66">
        <f t="shared" si="51"/>
        <v>1692</v>
      </c>
      <c r="BT90" s="58"/>
      <c r="BU90" s="54">
        <v>5000</v>
      </c>
      <c r="BV90" s="58"/>
      <c r="BW90" s="58">
        <f t="shared" si="65"/>
        <v>5000</v>
      </c>
      <c r="BX90" s="58"/>
      <c r="BY90" s="91" t="s">
        <v>274</v>
      </c>
      <c r="BZ90" s="66">
        <v>680.6</v>
      </c>
      <c r="CA90" s="66"/>
      <c r="CB90" s="54">
        <v>3000</v>
      </c>
      <c r="CC90" s="54"/>
      <c r="CD90" s="54">
        <v>1987.6</v>
      </c>
      <c r="CE90" s="54"/>
      <c r="CF90" s="54">
        <v>3000</v>
      </c>
      <c r="CG90" s="60"/>
      <c r="CH90" s="61">
        <f t="shared" si="58"/>
        <v>0</v>
      </c>
      <c r="CI90" s="200"/>
      <c r="CJ90" s="301" t="s">
        <v>275</v>
      </c>
    </row>
    <row r="91" spans="1:88" ht="18" customHeight="1" thickBot="1" x14ac:dyDescent="0.25">
      <c r="A91" s="4"/>
      <c r="B91" s="27"/>
      <c r="C91" s="133" t="s">
        <v>68</v>
      </c>
      <c r="D91" s="133"/>
      <c r="E91" s="134"/>
      <c r="F91" s="133"/>
      <c r="G91" s="158">
        <v>190.48</v>
      </c>
      <c r="H91" s="136"/>
      <c r="I91" s="158">
        <v>625</v>
      </c>
      <c r="J91" s="136"/>
      <c r="K91" s="158">
        <f t="shared" si="67"/>
        <v>-434.52</v>
      </c>
      <c r="L91" s="136"/>
      <c r="M91" s="159">
        <f t="shared" si="68"/>
        <v>0.30476999999999999</v>
      </c>
      <c r="N91" s="136"/>
      <c r="O91" s="158">
        <v>91.2</v>
      </c>
      <c r="P91" s="136"/>
      <c r="Q91" s="158">
        <v>625</v>
      </c>
      <c r="R91" s="136"/>
      <c r="S91" s="158">
        <f t="shared" si="69"/>
        <v>-533.79999999999995</v>
      </c>
      <c r="T91" s="136"/>
      <c r="U91" s="159">
        <f t="shared" si="70"/>
        <v>0.14591999999999999</v>
      </c>
      <c r="V91" s="136"/>
      <c r="W91" s="138">
        <v>115.75</v>
      </c>
      <c r="X91" s="138"/>
      <c r="Y91" s="138">
        <v>625</v>
      </c>
      <c r="Z91" s="138"/>
      <c r="AA91" s="138">
        <f t="shared" si="71"/>
        <v>-509.25</v>
      </c>
      <c r="AB91" s="138"/>
      <c r="AC91" s="138"/>
      <c r="AD91" s="138">
        <v>7500</v>
      </c>
      <c r="AE91" s="138"/>
      <c r="AF91" s="160">
        <v>6634.13</v>
      </c>
      <c r="AG91" s="161"/>
      <c r="AH91" s="162">
        <v>7500</v>
      </c>
      <c r="AI91" s="162"/>
      <c r="AJ91" s="162">
        <v>3020.56</v>
      </c>
      <c r="AK91" s="162"/>
      <c r="AL91" s="162">
        <v>7500</v>
      </c>
      <c r="AM91" s="162"/>
      <c r="AN91" s="162">
        <v>3147.71</v>
      </c>
      <c r="AO91" s="162"/>
      <c r="AP91" s="162">
        <v>2017.54</v>
      </c>
      <c r="AQ91" s="162"/>
      <c r="AR91" s="162">
        <f t="shared" si="72"/>
        <v>1875</v>
      </c>
      <c r="AS91" s="162">
        <f t="shared" ref="AS91:AS92" si="73">AP91*2</f>
        <v>4035.08</v>
      </c>
      <c r="AT91" s="162"/>
      <c r="AU91" s="163"/>
      <c r="AV91" s="93">
        <v>2000</v>
      </c>
      <c r="AW91" s="94"/>
      <c r="AX91" s="95">
        <f>AN91-AL91</f>
        <v>-4352.29</v>
      </c>
      <c r="AY91" s="96"/>
      <c r="AZ91" s="97">
        <v>1981.09</v>
      </c>
      <c r="BA91" s="93"/>
      <c r="BB91" s="117"/>
      <c r="BC91" s="123"/>
      <c r="BD91" s="93">
        <v>2929.43</v>
      </c>
      <c r="BE91" s="93"/>
      <c r="BF91" s="93"/>
      <c r="BG91" s="93">
        <v>2000</v>
      </c>
      <c r="BH91" s="93"/>
      <c r="BI91" s="100">
        <v>3864.35</v>
      </c>
      <c r="BJ91" s="93"/>
      <c r="BK91" s="93">
        <v>1900</v>
      </c>
      <c r="BL91" s="93"/>
      <c r="BM91" s="101">
        <f>BK91-BG91</f>
        <v>-100</v>
      </c>
      <c r="BN91" s="101"/>
      <c r="BO91" s="164">
        <v>942.95</v>
      </c>
      <c r="BP91" s="164"/>
      <c r="BQ91" s="102">
        <v>1475.94</v>
      </c>
      <c r="BR91" s="102"/>
      <c r="BS91" s="102">
        <f t="shared" si="51"/>
        <v>-424.05999999999995</v>
      </c>
      <c r="BT91" s="101"/>
      <c r="BU91" s="93">
        <v>1500</v>
      </c>
      <c r="BV91" s="101"/>
      <c r="BW91" s="101">
        <f t="shared" si="65"/>
        <v>-400</v>
      </c>
      <c r="BX91" s="165"/>
      <c r="BY91" s="91" t="s">
        <v>276</v>
      </c>
      <c r="BZ91" s="102">
        <v>1956.01</v>
      </c>
      <c r="CA91" s="102"/>
      <c r="CB91" s="93">
        <v>1500</v>
      </c>
      <c r="CC91" s="93"/>
      <c r="CD91" s="93">
        <v>1382.52</v>
      </c>
      <c r="CE91" s="93"/>
      <c r="CF91" s="93">
        <v>1500</v>
      </c>
      <c r="CG91" s="99"/>
      <c r="CH91" s="103">
        <f t="shared" si="58"/>
        <v>0</v>
      </c>
      <c r="CI91" s="129"/>
      <c r="CJ91" s="304" t="s">
        <v>204</v>
      </c>
    </row>
    <row r="92" spans="1:88" ht="18.75" customHeight="1" thickBot="1" x14ac:dyDescent="0.25">
      <c r="A92" s="4"/>
      <c r="B92" s="347" t="s">
        <v>69</v>
      </c>
      <c r="C92" s="348"/>
      <c r="D92" s="348"/>
      <c r="E92" s="348"/>
      <c r="F92" s="348"/>
      <c r="G92" s="30">
        <f>ROUND(SUM(G34:G36)+SUM(G39:G40)+SUM(G79:G90)+SUM(G86:G91),5)</f>
        <v>47203.7</v>
      </c>
      <c r="H92" s="31"/>
      <c r="I92" s="30">
        <f>ROUND(SUM(I34:I36)+SUM(I39:I40)+SUM(I79:I90)+SUM(I86:I91),5)</f>
        <v>49133.04</v>
      </c>
      <c r="J92" s="31"/>
      <c r="K92" s="30">
        <f t="shared" si="67"/>
        <v>-1929.34</v>
      </c>
      <c r="L92" s="31"/>
      <c r="M92" s="32">
        <f t="shared" si="68"/>
        <v>0.96072999999999997</v>
      </c>
      <c r="N92" s="31"/>
      <c r="O92" s="30">
        <f>ROUND(SUM(O34:O36)+SUM(O39:O40)+SUM(O79:O90)+SUM(O86:O91),5)</f>
        <v>48926.36</v>
      </c>
      <c r="P92" s="31"/>
      <c r="Q92" s="30">
        <f>ROUND(SUM(Q34:Q36)+SUM(Q39:Q40)+SUM(Q79:Q90)+SUM(Q86:Q91),5)</f>
        <v>49133.36</v>
      </c>
      <c r="R92" s="31"/>
      <c r="S92" s="30">
        <f t="shared" si="69"/>
        <v>-207</v>
      </c>
      <c r="T92" s="31"/>
      <c r="U92" s="32">
        <f t="shared" si="70"/>
        <v>0.99578999999999995</v>
      </c>
      <c r="V92" s="31"/>
      <c r="W92" s="76">
        <f>W91+W88+W87+W86+W90+W27+W82+W81+W20+W16+W80+W79+W40+W39+W36+W35</f>
        <v>63560.5</v>
      </c>
      <c r="X92" s="76"/>
      <c r="Y92" s="76">
        <f>Y91+Y88+Y87+Y86+Y90+Y27+Y82+Y81+Y20+Y16+Y80+Y79+Y40+Y39+Y36+Y35</f>
        <v>50516.7</v>
      </c>
      <c r="Z92" s="76"/>
      <c r="AA92" s="76">
        <f t="shared" si="71"/>
        <v>13043.8</v>
      </c>
      <c r="AB92" s="76"/>
      <c r="AC92" s="76"/>
      <c r="AD92" s="77">
        <f>AD91+AD88+AD87+AD86+AD90+AD27+AD82+AD81+AD20+AD16+AD80+AD79+AD40+AD39+AD36+AD35</f>
        <v>767136.77</v>
      </c>
      <c r="AE92" s="77"/>
      <c r="AF92" s="150">
        <f>AF91+AF88+AF87+AF86+AF90+AF27+AF82+AF81+AF20+AF16+AF80+AF79+AF40+AF39+AF36+AF35</f>
        <v>750712.31999999995</v>
      </c>
      <c r="AG92" s="151"/>
      <c r="AH92" s="152">
        <f>AH91+AH88+AH87+AH86+AH90+AH27+AH82+AH81+AH20+AH16+AH80+AH79+AH39+AH40+AH36+AH35</f>
        <v>738000</v>
      </c>
      <c r="AI92" s="152"/>
      <c r="AJ92" s="152">
        <v>630893.22</v>
      </c>
      <c r="AK92" s="152"/>
      <c r="AL92" s="152">
        <f>AL91+AL88+AL87+AL86+AL90+AL27+AL82+AL81+AL20+AL16+AL80+AL79+AL39+AL40+AL36+AL35</f>
        <v>741800</v>
      </c>
      <c r="AM92" s="152"/>
      <c r="AN92" s="152">
        <f>AN91+AN88+AN87+AN86+AN90+AN27+AN82+AN81+AN20+AN16+AN80+AN79+AN39+AN40+AN36+AN35</f>
        <v>669517.23999999987</v>
      </c>
      <c r="AO92" s="152"/>
      <c r="AP92" s="152">
        <f>AP91+AP88+AP87+AP86+AP90+AP27+AP82+AP81+AP20+AP16+AP80+AP79+AP40+AP39+AP36+AP35</f>
        <v>259302.56</v>
      </c>
      <c r="AQ92" s="152"/>
      <c r="AR92" s="152">
        <f>AR91+AR88+AR87+AR86+AR90+AR27+AR82+AR81+AR20+AR16+AR80+AR79+AR40+AR39+AR36+AR35</f>
        <v>140449.70000000001</v>
      </c>
      <c r="AS92" s="152">
        <f t="shared" si="73"/>
        <v>518605.12</v>
      </c>
      <c r="AT92" s="152"/>
      <c r="AU92" s="166"/>
      <c r="AV92" s="167">
        <f>AV91+AV88+AV87+AV86+AV90+AV82+AV81+AV16+AV80+AV79+AV39+AV40+AV36+AV35+AV89+AV17</f>
        <v>680500</v>
      </c>
      <c r="AW92" s="168"/>
      <c r="AX92" s="169">
        <f>AN92-AL92</f>
        <v>-72282.760000000126</v>
      </c>
      <c r="AY92" s="169"/>
      <c r="AZ92" s="167">
        <f>AZ91+AZ88+AZ87+AZ86+AZ90+AZ27+AZ82+AZ81+AZ20+AZ16+AZ80+AZ79+AZ39+AZ40+AZ36+AZ35+AZ28+AZ89</f>
        <v>200554.36</v>
      </c>
      <c r="BA92" s="167"/>
      <c r="BB92" s="170"/>
      <c r="BC92" s="98"/>
      <c r="BD92" s="171">
        <f>BD91+BD88+BD87+BD86+BD90+BD82+BD81+BD16+BD80+BD79+BD39+BD40+BD36+BD35+BD89+BD17</f>
        <v>653621.83000000007</v>
      </c>
      <c r="BE92" s="104">
        <f>BE91+BE88+BE87+BE86+BE90+BE82+BE81+BE16+BE80+BE79+BE39+BE40+BE36+BE35+BE89</f>
        <v>0</v>
      </c>
      <c r="BF92" s="104">
        <f>BF91+BF88+BF87+BF86+BF90+BF82+BF81+BF16+BF80+BF79+BF39+BF40+BF36+BF35+BF89</f>
        <v>0</v>
      </c>
      <c r="BG92" s="104">
        <f>BG91+BG88+BG87+BG86+BG90+BG82+BG81+BG16+BG80+BG79+BG39+BG40+BG36+BG35+BG89+BG17</f>
        <v>653100</v>
      </c>
      <c r="BH92" s="104"/>
      <c r="BI92" s="104">
        <f>BI91+BI88+BI87+BI86+BI90+BI82+BI81+BI16+BI80+BI79+BI39+BI40+BI36+BI35+BI89+BI17</f>
        <v>683383.05</v>
      </c>
      <c r="BJ92" s="104"/>
      <c r="BK92" s="104">
        <f>BK91+BK88+BK87+BK86+BK82+BK81+BK80+BK79+BK39+BK36+BK35+BK40+BK90</f>
        <v>582065.41999999993</v>
      </c>
      <c r="BL92" s="104"/>
      <c r="BM92" s="108">
        <f>BK92-BG92</f>
        <v>-71034.580000000075</v>
      </c>
      <c r="BN92" s="108"/>
      <c r="BO92" s="104">
        <f>BO91+BO88+BO87+BO86+BO82+BO81+BO80+BO79+BO39+BO36+BO35+BO40+BO90</f>
        <v>203819.53000000003</v>
      </c>
      <c r="BP92" s="104"/>
      <c r="BQ92" s="104">
        <f>BQ91+BQ88+BQ87+BQ86+BQ82+BQ81+BQ80+BQ79+BQ39+BQ36+BQ35+BQ40+BQ90</f>
        <v>621728.73</v>
      </c>
      <c r="BR92" s="109"/>
      <c r="BS92" s="172">
        <f>BS91+BS88+BS87+BS86+BS82+BS81+BS80+BS79+BS39+BS36+BS35+BS40+BS90</f>
        <v>39663.310000000034</v>
      </c>
      <c r="BT92" s="108"/>
      <c r="BU92" s="104">
        <f>BU91+BU88+BU87+BU86+BU82+BU81+BU80+BU79+BU39+BU36+BU35+BU40+BU90</f>
        <v>630450</v>
      </c>
      <c r="BV92" s="108"/>
      <c r="BW92" s="108">
        <f t="shared" si="65"/>
        <v>48384.580000000075</v>
      </c>
      <c r="BX92" s="84"/>
      <c r="BY92" s="86"/>
      <c r="BZ92" s="104">
        <f>BZ91+BZ88+BZ87+BZ86+BZ82+BZ81+BZ80+BZ79+BZ39+BZ36+BZ35+BZ40+BZ90</f>
        <v>658774.55000000005</v>
      </c>
      <c r="CA92" s="104"/>
      <c r="CB92" s="104">
        <f>CB91+CB88+CB87+CB86+CB82+CB81+CB80+CB79+CB39+CB36+CB35+CB40+CB90</f>
        <v>625950</v>
      </c>
      <c r="CC92" s="104"/>
      <c r="CD92" s="104">
        <f>CD91+CD88+CD87+CD86+CD82+CD81+CD80+CD79+CD39+CD36+CD35+CD40+CD90</f>
        <v>591971.38</v>
      </c>
      <c r="CE92" s="104"/>
      <c r="CF92" s="104">
        <f>CF91+CF88+CF87+CF86+CF82+CF81+CF80+CF79+CF39+CF36+CF35+CF40+CF90</f>
        <v>650750</v>
      </c>
      <c r="CG92" s="107"/>
      <c r="CH92" s="103">
        <f t="shared" si="58"/>
        <v>24800</v>
      </c>
      <c r="CI92" s="96"/>
      <c r="CJ92" s="305"/>
    </row>
    <row r="93" spans="1:88" ht="14.25" customHeight="1" x14ac:dyDescent="0.2">
      <c r="A93" s="4"/>
      <c r="B93" s="347" t="s">
        <v>160</v>
      </c>
      <c r="C93" s="348"/>
      <c r="D93" s="348"/>
      <c r="E93" s="348"/>
      <c r="F93" s="348"/>
      <c r="G93" s="30"/>
      <c r="H93" s="31"/>
      <c r="I93" s="30"/>
      <c r="J93" s="31"/>
      <c r="K93" s="30"/>
      <c r="L93" s="31"/>
      <c r="M93" s="32"/>
      <c r="N93" s="31"/>
      <c r="O93" s="30"/>
      <c r="P93" s="31"/>
      <c r="Q93" s="30"/>
      <c r="R93" s="31"/>
      <c r="S93" s="30"/>
      <c r="T93" s="31"/>
      <c r="U93" s="32"/>
      <c r="V93" s="31"/>
      <c r="W93" s="33"/>
      <c r="X93" s="33"/>
      <c r="Y93" s="33"/>
      <c r="Z93" s="33"/>
      <c r="AA93" s="33"/>
      <c r="AB93" s="33"/>
      <c r="AC93" s="33"/>
      <c r="AD93" s="34"/>
      <c r="AE93" s="34"/>
      <c r="AF93" s="39"/>
      <c r="AG93" s="40"/>
      <c r="AH93" s="41"/>
      <c r="AI93" s="41"/>
      <c r="AJ93" s="41"/>
      <c r="AK93" s="41"/>
      <c r="AL93" s="41"/>
      <c r="AM93" s="41"/>
      <c r="AN93" s="41"/>
      <c r="AO93" s="41"/>
      <c r="AP93" s="41"/>
      <c r="AQ93" s="41"/>
      <c r="AR93" s="41"/>
      <c r="AS93" s="41"/>
      <c r="AT93" s="41"/>
      <c r="AU93" s="42"/>
      <c r="AV93" s="79"/>
      <c r="AW93" s="80"/>
      <c r="AX93" s="81"/>
      <c r="AY93" s="81"/>
      <c r="AZ93" s="79"/>
      <c r="BA93" s="79"/>
      <c r="BB93" s="79"/>
      <c r="BC93" s="83"/>
      <c r="BD93" s="79"/>
      <c r="BE93" s="79"/>
      <c r="BF93" s="79"/>
      <c r="BG93" s="79"/>
      <c r="BH93" s="79"/>
      <c r="BI93" s="79"/>
      <c r="BJ93" s="79"/>
      <c r="BK93" s="79"/>
      <c r="BL93" s="79"/>
      <c r="BM93" s="84"/>
      <c r="BN93" s="84"/>
      <c r="BO93" s="79"/>
      <c r="BP93" s="79"/>
      <c r="BQ93" s="85"/>
      <c r="BR93" s="85"/>
      <c r="BS93" s="85"/>
      <c r="BT93" s="84"/>
      <c r="BU93" s="79"/>
      <c r="BV93" s="84"/>
      <c r="BW93" s="84"/>
      <c r="BX93" s="58"/>
      <c r="BY93" s="91"/>
      <c r="BZ93" s="85"/>
      <c r="CA93" s="85"/>
      <c r="CB93" s="79"/>
      <c r="CC93" s="79"/>
      <c r="CD93" s="79"/>
      <c r="CE93" s="79"/>
      <c r="CF93" s="79"/>
      <c r="CG93" s="83"/>
      <c r="CH93" s="112"/>
      <c r="CI93" s="199"/>
      <c r="CJ93" s="299"/>
    </row>
    <row r="94" spans="1:88" ht="15.75" customHeight="1" x14ac:dyDescent="0.2">
      <c r="A94" s="4"/>
      <c r="B94" s="27"/>
      <c r="C94" s="28"/>
      <c r="D94" s="28" t="s">
        <v>79</v>
      </c>
      <c r="E94" s="29"/>
      <c r="F94" s="28"/>
      <c r="G94" s="30"/>
      <c r="H94" s="31"/>
      <c r="I94" s="30"/>
      <c r="J94" s="31"/>
      <c r="K94" s="30"/>
      <c r="L94" s="31"/>
      <c r="M94" s="32"/>
      <c r="N94" s="31"/>
      <c r="O94" s="30"/>
      <c r="P94" s="31"/>
      <c r="Q94" s="30"/>
      <c r="R94" s="31"/>
      <c r="S94" s="30"/>
      <c r="T94" s="31"/>
      <c r="U94" s="32"/>
      <c r="V94" s="31"/>
      <c r="W94" s="33"/>
      <c r="X94" s="33"/>
      <c r="Y94" s="33"/>
      <c r="Z94" s="33"/>
      <c r="AA94" s="33"/>
      <c r="AB94" s="33"/>
      <c r="AC94" s="33"/>
      <c r="AD94" s="34"/>
      <c r="AE94" s="34"/>
      <c r="AF94" s="49"/>
      <c r="AG94" s="50"/>
      <c r="AH94" s="51"/>
      <c r="AI94" s="51"/>
      <c r="AJ94" s="51"/>
      <c r="AK94" s="51"/>
      <c r="AL94" s="51"/>
      <c r="AM94" s="51"/>
      <c r="AN94" s="51"/>
      <c r="AO94" s="51"/>
      <c r="AP94" s="51"/>
      <c r="AQ94" s="51"/>
      <c r="AR94" s="51"/>
      <c r="AS94" s="51"/>
      <c r="AT94" s="51"/>
      <c r="AU94" s="65"/>
      <c r="AV94" s="54"/>
      <c r="AW94" s="55"/>
      <c r="AX94" s="56">
        <f t="shared" ref="AX94:AX104" si="74">AN94-AL94</f>
        <v>0</v>
      </c>
      <c r="AY94" s="88"/>
      <c r="AZ94" s="89"/>
      <c r="BA94" s="54"/>
      <c r="BB94" s="54"/>
      <c r="BC94" s="60"/>
      <c r="BD94" s="54"/>
      <c r="BE94" s="54"/>
      <c r="BF94" s="54"/>
      <c r="BG94" s="54"/>
      <c r="BH94" s="54"/>
      <c r="BI94" s="54"/>
      <c r="BJ94" s="54"/>
      <c r="BK94" s="54"/>
      <c r="BL94" s="54"/>
      <c r="BM94" s="58"/>
      <c r="BN94" s="58"/>
      <c r="BO94" s="54"/>
      <c r="BP94" s="54"/>
      <c r="BQ94" s="66"/>
      <c r="BR94" s="66"/>
      <c r="BS94" s="66"/>
      <c r="BT94" s="58"/>
      <c r="BU94" s="54"/>
      <c r="BV94" s="58"/>
      <c r="BW94" s="58"/>
      <c r="BX94" s="58"/>
      <c r="BY94" s="91"/>
      <c r="BZ94" s="66"/>
      <c r="CA94" s="66"/>
      <c r="CB94" s="54"/>
      <c r="CC94" s="54"/>
      <c r="CD94" s="54"/>
      <c r="CE94" s="54"/>
      <c r="CF94" s="54"/>
      <c r="CG94" s="60"/>
      <c r="CH94" s="61"/>
      <c r="CI94" s="200"/>
      <c r="CJ94" s="294"/>
    </row>
    <row r="95" spans="1:88" ht="15.75" customHeight="1" x14ac:dyDescent="0.2">
      <c r="A95" s="4"/>
      <c r="B95" s="27"/>
      <c r="C95" s="28"/>
      <c r="D95" s="28"/>
      <c r="E95" s="363" t="s">
        <v>80</v>
      </c>
      <c r="F95" s="363"/>
      <c r="G95" s="30">
        <v>642</v>
      </c>
      <c r="H95" s="31"/>
      <c r="I95" s="30">
        <v>458.37</v>
      </c>
      <c r="J95" s="31"/>
      <c r="K95" s="30">
        <f>ROUND((G95-I95),5)</f>
        <v>183.63</v>
      </c>
      <c r="L95" s="31"/>
      <c r="M95" s="32">
        <f>ROUND(IF(I95=0, IF(G95=0, 0, 1), G95/I95),5)</f>
        <v>1.40062</v>
      </c>
      <c r="N95" s="31"/>
      <c r="O95" s="30">
        <v>83</v>
      </c>
      <c r="P95" s="31"/>
      <c r="Q95" s="30">
        <v>458.33</v>
      </c>
      <c r="R95" s="31"/>
      <c r="S95" s="30">
        <f>ROUND((O95-Q95),5)</f>
        <v>-375.33</v>
      </c>
      <c r="T95" s="31"/>
      <c r="U95" s="32">
        <f>ROUND(IF(Q95=0, IF(O95=0, 0, 1), O95/Q95),5)</f>
        <v>0.18109</v>
      </c>
      <c r="V95" s="31"/>
      <c r="W95" s="33">
        <v>221</v>
      </c>
      <c r="X95" s="33"/>
      <c r="Y95" s="33">
        <v>458.33</v>
      </c>
      <c r="Z95" s="33"/>
      <c r="AA95" s="33">
        <f>ROUND((W95-Y95),5)</f>
        <v>-237.33</v>
      </c>
      <c r="AB95" s="33"/>
      <c r="AC95" s="33"/>
      <c r="AD95" s="34"/>
      <c r="AE95" s="34"/>
      <c r="AF95" s="49"/>
      <c r="AG95" s="50"/>
      <c r="AH95" s="51"/>
      <c r="AI95" s="51"/>
      <c r="AJ95" s="51">
        <v>5210.71</v>
      </c>
      <c r="AK95" s="51"/>
      <c r="AL95" s="51">
        <v>5500</v>
      </c>
      <c r="AM95" s="51"/>
      <c r="AN95" s="51">
        <v>6830.02</v>
      </c>
      <c r="AO95" s="51"/>
      <c r="AP95" s="51">
        <v>2285</v>
      </c>
      <c r="AQ95" s="51"/>
      <c r="AR95" s="51">
        <f>ROUND(I95+Q95+Y95,5)</f>
        <v>1375.03</v>
      </c>
      <c r="AS95" s="51">
        <f t="shared" ref="AS95:AS99" si="75">AP95*2</f>
        <v>4570</v>
      </c>
      <c r="AT95" s="51"/>
      <c r="AU95" s="65"/>
      <c r="AV95" s="54">
        <v>5500</v>
      </c>
      <c r="AW95" s="55"/>
      <c r="AX95" s="56">
        <f t="shared" si="74"/>
        <v>1330.0200000000004</v>
      </c>
      <c r="AY95" s="88"/>
      <c r="AZ95" s="89">
        <v>3363.88</v>
      </c>
      <c r="BA95" s="54"/>
      <c r="BB95" s="54"/>
      <c r="BC95" s="60"/>
      <c r="BD95" s="54">
        <v>6643.59</v>
      </c>
      <c r="BE95" s="54"/>
      <c r="BF95" s="54"/>
      <c r="BG95" s="54">
        <v>8000</v>
      </c>
      <c r="BH95" s="54"/>
      <c r="BI95" s="57">
        <v>9576.01</v>
      </c>
      <c r="BJ95" s="54"/>
      <c r="BK95" s="54">
        <v>8000</v>
      </c>
      <c r="BL95" s="54"/>
      <c r="BM95" s="58">
        <f>BK95-BG95</f>
        <v>0</v>
      </c>
      <c r="BN95" s="58"/>
      <c r="BO95" s="54">
        <v>7657.35</v>
      </c>
      <c r="BP95" s="54"/>
      <c r="BQ95" s="66">
        <v>12397.94</v>
      </c>
      <c r="BR95" s="66"/>
      <c r="BS95" s="66">
        <f t="shared" si="51"/>
        <v>4397.9400000000005</v>
      </c>
      <c r="BT95" s="58"/>
      <c r="BU95" s="54">
        <v>8000</v>
      </c>
      <c r="BV95" s="58"/>
      <c r="BW95" s="58">
        <f t="shared" si="65"/>
        <v>0</v>
      </c>
      <c r="BX95" s="58"/>
      <c r="BY95" s="90" t="s">
        <v>204</v>
      </c>
      <c r="BZ95" s="66">
        <v>7736.21</v>
      </c>
      <c r="CA95" s="66"/>
      <c r="CB95" s="54">
        <v>8000</v>
      </c>
      <c r="CC95" s="54"/>
      <c r="CD95" s="54">
        <v>351.54</v>
      </c>
      <c r="CE95" s="54"/>
      <c r="CF95" s="54">
        <v>8000</v>
      </c>
      <c r="CG95" s="60"/>
      <c r="CH95" s="61">
        <f>CF95-CB95</f>
        <v>0</v>
      </c>
      <c r="CI95" s="200"/>
      <c r="CJ95" s="295" t="s">
        <v>204</v>
      </c>
    </row>
    <row r="96" spans="1:88" ht="16.5" customHeight="1" x14ac:dyDescent="0.2">
      <c r="A96" s="4"/>
      <c r="B96" s="27"/>
      <c r="C96" s="28"/>
      <c r="D96" s="28"/>
      <c r="E96" s="363" t="s">
        <v>81</v>
      </c>
      <c r="F96" s="363"/>
      <c r="G96" s="30">
        <v>1409.97</v>
      </c>
      <c r="H96" s="31"/>
      <c r="I96" s="30">
        <v>1833.37</v>
      </c>
      <c r="J96" s="31"/>
      <c r="K96" s="30">
        <f>ROUND((G96-I96),5)</f>
        <v>-423.4</v>
      </c>
      <c r="L96" s="31"/>
      <c r="M96" s="32">
        <f>ROUND(IF(I96=0, IF(G96=0, 0, 1), G96/I96),5)</f>
        <v>0.76905999999999997</v>
      </c>
      <c r="N96" s="31"/>
      <c r="O96" s="30">
        <v>0</v>
      </c>
      <c r="P96" s="31"/>
      <c r="Q96" s="30">
        <v>1833.33</v>
      </c>
      <c r="R96" s="31"/>
      <c r="S96" s="30">
        <f>ROUND((O96-Q96),5)</f>
        <v>-1833.33</v>
      </c>
      <c r="T96" s="31"/>
      <c r="U96" s="32">
        <f>ROUND(IF(Q96=0, IF(O96=0, 0, 1), O96/Q96),5)</f>
        <v>0</v>
      </c>
      <c r="V96" s="31"/>
      <c r="W96" s="33">
        <v>51</v>
      </c>
      <c r="X96" s="33"/>
      <c r="Y96" s="33">
        <v>1833.33</v>
      </c>
      <c r="Z96" s="33"/>
      <c r="AA96" s="33">
        <f>ROUND((W96-Y96),5)</f>
        <v>-1782.33</v>
      </c>
      <c r="AB96" s="33"/>
      <c r="AC96" s="33"/>
      <c r="AD96" s="34"/>
      <c r="AE96" s="34"/>
      <c r="AF96" s="49"/>
      <c r="AG96" s="50"/>
      <c r="AH96" s="51"/>
      <c r="AI96" s="51"/>
      <c r="AJ96" s="51">
        <v>7531.52</v>
      </c>
      <c r="AK96" s="51"/>
      <c r="AL96" s="51">
        <v>22000</v>
      </c>
      <c r="AM96" s="51"/>
      <c r="AN96" s="51">
        <v>6133.54</v>
      </c>
      <c r="AO96" s="51"/>
      <c r="AP96" s="51">
        <v>1681.97</v>
      </c>
      <c r="AQ96" s="51"/>
      <c r="AR96" s="51">
        <f>ROUND(I96+Q96+Y96,5)</f>
        <v>5500.03</v>
      </c>
      <c r="AS96" s="51">
        <f t="shared" si="75"/>
        <v>3363.94</v>
      </c>
      <c r="AT96" s="51"/>
      <c r="AU96" s="53"/>
      <c r="AV96" s="54">
        <v>5000</v>
      </c>
      <c r="AW96" s="55"/>
      <c r="AX96" s="56">
        <f t="shared" si="74"/>
        <v>-15866.46</v>
      </c>
      <c r="AY96" s="88"/>
      <c r="AZ96" s="89">
        <v>0</v>
      </c>
      <c r="BA96" s="54"/>
      <c r="BB96" s="54"/>
      <c r="BC96" s="60"/>
      <c r="BD96" s="54">
        <f>5477.3-1292.9</f>
        <v>4184.3999999999996</v>
      </c>
      <c r="BE96" s="54"/>
      <c r="BF96" s="54"/>
      <c r="BG96" s="54">
        <v>5000</v>
      </c>
      <c r="BH96" s="54"/>
      <c r="BI96" s="57">
        <v>618</v>
      </c>
      <c r="BJ96" s="54"/>
      <c r="BK96" s="54">
        <v>5000</v>
      </c>
      <c r="BL96" s="54"/>
      <c r="BM96" s="58">
        <f>BK96-BG96</f>
        <v>0</v>
      </c>
      <c r="BN96" s="58"/>
      <c r="BO96" s="54">
        <v>3940.44</v>
      </c>
      <c r="BP96" s="54"/>
      <c r="BQ96" s="66">
        <v>4772.12</v>
      </c>
      <c r="BR96" s="66"/>
      <c r="BS96" s="66">
        <f t="shared" si="51"/>
        <v>-227.88000000000011</v>
      </c>
      <c r="BT96" s="58"/>
      <c r="BU96" s="54">
        <v>2500</v>
      </c>
      <c r="BV96" s="58"/>
      <c r="BW96" s="58">
        <f t="shared" si="65"/>
        <v>-2500</v>
      </c>
      <c r="BX96" s="58"/>
      <c r="BY96" s="91" t="s">
        <v>277</v>
      </c>
      <c r="BZ96" s="66">
        <v>1065.3499999999999</v>
      </c>
      <c r="CA96" s="66"/>
      <c r="CB96" s="54">
        <v>1500</v>
      </c>
      <c r="CC96" s="54"/>
      <c r="CD96" s="54">
        <v>1723.78</v>
      </c>
      <c r="CE96" s="54"/>
      <c r="CF96" s="54">
        <v>1500</v>
      </c>
      <c r="CG96" s="60"/>
      <c r="CH96" s="61">
        <f t="shared" ref="CH96:CH98" si="76">CF96-CB96</f>
        <v>0</v>
      </c>
      <c r="CI96" s="200"/>
      <c r="CJ96" s="295" t="s">
        <v>204</v>
      </c>
    </row>
    <row r="97" spans="1:88" ht="17.25" customHeight="1" x14ac:dyDescent="0.2">
      <c r="A97" s="4"/>
      <c r="B97" s="27"/>
      <c r="C97" s="28"/>
      <c r="D97" s="28"/>
      <c r="E97" s="363" t="s">
        <v>82</v>
      </c>
      <c r="F97" s="363"/>
      <c r="G97" s="30">
        <v>409.6</v>
      </c>
      <c r="H97" s="31"/>
      <c r="I97" s="30">
        <v>625</v>
      </c>
      <c r="J97" s="31"/>
      <c r="K97" s="30">
        <f>ROUND((G97-I97),5)</f>
        <v>-215.4</v>
      </c>
      <c r="L97" s="31"/>
      <c r="M97" s="32">
        <f>ROUND(IF(I97=0, IF(G97=0, 0, 1), G97/I97),5)</f>
        <v>0.65536000000000005</v>
      </c>
      <c r="N97" s="31"/>
      <c r="O97" s="30">
        <v>351.58</v>
      </c>
      <c r="P97" s="31"/>
      <c r="Q97" s="30">
        <v>625</v>
      </c>
      <c r="R97" s="31"/>
      <c r="S97" s="30">
        <f>ROUND((O97-Q97),5)</f>
        <v>-273.42</v>
      </c>
      <c r="T97" s="31"/>
      <c r="U97" s="32">
        <f>ROUND(IF(Q97=0, IF(O97=0, 0, 1), O97/Q97),5)</f>
        <v>0.56252999999999997</v>
      </c>
      <c r="V97" s="31"/>
      <c r="W97" s="33">
        <v>1126.6400000000001</v>
      </c>
      <c r="X97" s="33"/>
      <c r="Y97" s="33">
        <v>625</v>
      </c>
      <c r="Z97" s="33"/>
      <c r="AA97" s="33">
        <f>ROUND((W97-Y97),5)</f>
        <v>501.64</v>
      </c>
      <c r="AB97" s="33"/>
      <c r="AC97" s="33"/>
      <c r="AD97" s="34"/>
      <c r="AE97" s="34"/>
      <c r="AF97" s="49"/>
      <c r="AG97" s="50"/>
      <c r="AH97" s="51"/>
      <c r="AI97" s="51"/>
      <c r="AJ97" s="51">
        <v>5900.83</v>
      </c>
      <c r="AK97" s="51"/>
      <c r="AL97" s="51">
        <v>7500</v>
      </c>
      <c r="AM97" s="51"/>
      <c r="AN97" s="51">
        <v>12948.14</v>
      </c>
      <c r="AO97" s="51"/>
      <c r="AP97" s="51">
        <v>8538.68</v>
      </c>
      <c r="AQ97" s="51"/>
      <c r="AR97" s="51">
        <f>ROUND(I97+Q97+Y97,5)</f>
        <v>1875</v>
      </c>
      <c r="AS97" s="51">
        <f t="shared" si="75"/>
        <v>17077.36</v>
      </c>
      <c r="AT97" s="51"/>
      <c r="AU97" s="53"/>
      <c r="AV97" s="54">
        <v>17500</v>
      </c>
      <c r="AW97" s="55"/>
      <c r="AX97" s="56">
        <f t="shared" si="74"/>
        <v>5448.1399999999994</v>
      </c>
      <c r="AY97" s="88"/>
      <c r="AZ97" s="89">
        <v>4268.16</v>
      </c>
      <c r="BA97" s="54"/>
      <c r="BB97" s="54"/>
      <c r="BC97" s="60"/>
      <c r="BD97" s="54">
        <v>7461.35</v>
      </c>
      <c r="BE97" s="54"/>
      <c r="BF97" s="54"/>
      <c r="BG97" s="54">
        <v>15000</v>
      </c>
      <c r="BH97" s="54"/>
      <c r="BI97" s="57">
        <v>12361.5</v>
      </c>
      <c r="BJ97" s="54"/>
      <c r="BK97" s="54">
        <v>10000</v>
      </c>
      <c r="BL97" s="54"/>
      <c r="BM97" s="58">
        <f>BK97-BG97</f>
        <v>-5000</v>
      </c>
      <c r="BN97" s="58"/>
      <c r="BO97" s="54">
        <v>3860.71</v>
      </c>
      <c r="BP97" s="54"/>
      <c r="BQ97" s="66">
        <v>16643.61</v>
      </c>
      <c r="BR97" s="66"/>
      <c r="BS97" s="66">
        <f t="shared" si="51"/>
        <v>6643.6100000000006</v>
      </c>
      <c r="BT97" s="58"/>
      <c r="BU97" s="54">
        <v>8000</v>
      </c>
      <c r="BV97" s="58"/>
      <c r="BW97" s="58">
        <f t="shared" si="65"/>
        <v>-2000</v>
      </c>
      <c r="BX97" s="58"/>
      <c r="BY97" s="91" t="s">
        <v>278</v>
      </c>
      <c r="BZ97" s="66">
        <v>11441.24</v>
      </c>
      <c r="CA97" s="66"/>
      <c r="CB97" s="54">
        <v>16500</v>
      </c>
      <c r="CC97" s="54"/>
      <c r="CD97" s="54">
        <v>1692.36</v>
      </c>
      <c r="CE97" s="54"/>
      <c r="CF97" s="54">
        <v>15000</v>
      </c>
      <c r="CG97" s="60"/>
      <c r="CH97" s="61">
        <f t="shared" si="76"/>
        <v>-1500</v>
      </c>
      <c r="CI97" s="200"/>
      <c r="CJ97" s="308" t="s">
        <v>237</v>
      </c>
    </row>
    <row r="98" spans="1:88" ht="18.75" customHeight="1" thickBot="1" x14ac:dyDescent="0.25">
      <c r="A98" s="4"/>
      <c r="B98" s="27"/>
      <c r="C98" s="28"/>
      <c r="D98" s="28"/>
      <c r="E98" s="363" t="s">
        <v>83</v>
      </c>
      <c r="F98" s="363"/>
      <c r="G98" s="30">
        <v>0</v>
      </c>
      <c r="H98" s="31"/>
      <c r="I98" s="30">
        <v>2916.63</v>
      </c>
      <c r="J98" s="31"/>
      <c r="K98" s="30">
        <f>ROUND((G98-I98),5)</f>
        <v>-2916.63</v>
      </c>
      <c r="L98" s="31"/>
      <c r="M98" s="32">
        <f>ROUND(IF(I98=0, IF(G98=0, 0, 1), G98/I98),5)</f>
        <v>0</v>
      </c>
      <c r="N98" s="31"/>
      <c r="O98" s="30">
        <v>0</v>
      </c>
      <c r="P98" s="31"/>
      <c r="Q98" s="30">
        <v>2916.67</v>
      </c>
      <c r="R98" s="31"/>
      <c r="S98" s="30">
        <f>ROUND((O98-Q98),5)</f>
        <v>-2916.67</v>
      </c>
      <c r="T98" s="31"/>
      <c r="U98" s="32">
        <f>ROUND(IF(Q98=0, IF(O98=0, 0, 1), O98/Q98),5)</f>
        <v>0</v>
      </c>
      <c r="V98" s="31"/>
      <c r="W98" s="33">
        <f>600+3704</f>
        <v>4304</v>
      </c>
      <c r="X98" s="33"/>
      <c r="Y98" s="33">
        <v>2916.67</v>
      </c>
      <c r="Z98" s="33"/>
      <c r="AA98" s="33">
        <f>ROUND((W98-Y98),5)</f>
        <v>1387.33</v>
      </c>
      <c r="AB98" s="33"/>
      <c r="AC98" s="33"/>
      <c r="AD98" s="34"/>
      <c r="AE98" s="34"/>
      <c r="AF98" s="71"/>
      <c r="AG98" s="72"/>
      <c r="AH98" s="73"/>
      <c r="AI98" s="73"/>
      <c r="AJ98" s="73">
        <v>10309.530000000001</v>
      </c>
      <c r="AK98" s="73"/>
      <c r="AL98" s="73">
        <v>35000</v>
      </c>
      <c r="AM98" s="73"/>
      <c r="AN98" s="73">
        <v>6799</v>
      </c>
      <c r="AO98" s="73"/>
      <c r="AP98" s="73">
        <v>3599</v>
      </c>
      <c r="AQ98" s="73"/>
      <c r="AR98" s="73">
        <f>ROUND(I98+Q98+Y98,5)</f>
        <v>8749.9699999999993</v>
      </c>
      <c r="AS98" s="73">
        <f t="shared" si="75"/>
        <v>7198</v>
      </c>
      <c r="AT98" s="73"/>
      <c r="AU98" s="116"/>
      <c r="AV98" s="93">
        <v>35000</v>
      </c>
      <c r="AW98" s="94"/>
      <c r="AX98" s="95">
        <f t="shared" si="74"/>
        <v>-28201</v>
      </c>
      <c r="AY98" s="106"/>
      <c r="AZ98" s="173">
        <v>2570.3000000000002</v>
      </c>
      <c r="BA98" s="93"/>
      <c r="BB98" s="93"/>
      <c r="BC98" s="99"/>
      <c r="BD98" s="93">
        <v>5690.3</v>
      </c>
      <c r="BE98" s="93"/>
      <c r="BF98" s="93"/>
      <c r="BG98" s="93">
        <v>10000</v>
      </c>
      <c r="BH98" s="93"/>
      <c r="BI98" s="100">
        <v>3950</v>
      </c>
      <c r="BJ98" s="93"/>
      <c r="BK98" s="93">
        <v>3500</v>
      </c>
      <c r="BL98" s="93"/>
      <c r="BM98" s="101">
        <f>BK98-BG98</f>
        <v>-6500</v>
      </c>
      <c r="BN98" s="101"/>
      <c r="BO98" s="93">
        <v>2840.18</v>
      </c>
      <c r="BP98" s="93"/>
      <c r="BQ98" s="102">
        <v>5060</v>
      </c>
      <c r="BR98" s="102"/>
      <c r="BS98" s="102">
        <f t="shared" si="51"/>
        <v>1560</v>
      </c>
      <c r="BT98" s="101"/>
      <c r="BU98" s="93">
        <v>7500</v>
      </c>
      <c r="BV98" s="58"/>
      <c r="BW98" s="101">
        <f t="shared" si="65"/>
        <v>4000</v>
      </c>
      <c r="BX98" s="58"/>
      <c r="BY98" s="91" t="s">
        <v>279</v>
      </c>
      <c r="BZ98" s="102">
        <v>3000</v>
      </c>
      <c r="CA98" s="102"/>
      <c r="CB98" s="93">
        <v>3000</v>
      </c>
      <c r="CC98" s="93"/>
      <c r="CD98" s="93">
        <v>0</v>
      </c>
      <c r="CE98" s="93"/>
      <c r="CF98" s="93">
        <v>1000</v>
      </c>
      <c r="CG98" s="99"/>
      <c r="CH98" s="103">
        <f t="shared" si="76"/>
        <v>-2000</v>
      </c>
      <c r="CI98" s="129"/>
      <c r="CJ98" s="300" t="s">
        <v>238</v>
      </c>
    </row>
    <row r="99" spans="1:88" ht="15" customHeight="1" thickBot="1" x14ac:dyDescent="0.25">
      <c r="A99" s="4"/>
      <c r="B99" s="27"/>
      <c r="C99" s="28"/>
      <c r="D99" s="28" t="s">
        <v>84</v>
      </c>
      <c r="E99" s="29"/>
      <c r="F99" s="28"/>
      <c r="G99" s="30">
        <f>ROUND(SUM(G94:G98),5)</f>
        <v>2461.5700000000002</v>
      </c>
      <c r="H99" s="31"/>
      <c r="I99" s="30">
        <f>ROUND(SUM(I94:I98),5)</f>
        <v>5833.37</v>
      </c>
      <c r="J99" s="31"/>
      <c r="K99" s="30">
        <f>ROUND((G99-I99),5)</f>
        <v>-3371.8</v>
      </c>
      <c r="L99" s="31"/>
      <c r="M99" s="32">
        <f>ROUND(IF(I99=0, IF(G99=0, 0, 1), G99/I99),5)</f>
        <v>0.42198000000000002</v>
      </c>
      <c r="N99" s="31"/>
      <c r="O99" s="30">
        <f>ROUND(SUM(O94:O98),5)</f>
        <v>434.58</v>
      </c>
      <c r="P99" s="31"/>
      <c r="Q99" s="30">
        <f>ROUND(SUM(Q94:Q98),5)</f>
        <v>5833.33</v>
      </c>
      <c r="R99" s="31"/>
      <c r="S99" s="30">
        <f>ROUND((O99-Q99),5)</f>
        <v>-5398.75</v>
      </c>
      <c r="T99" s="31"/>
      <c r="U99" s="32">
        <f>ROUND(IF(Q99=0, IF(O99=0, 0, 1), O99/Q99),5)</f>
        <v>7.4499999999999997E-2</v>
      </c>
      <c r="V99" s="31"/>
      <c r="W99" s="76">
        <f>SUM(W95:W98)</f>
        <v>5702.64</v>
      </c>
      <c r="X99" s="76"/>
      <c r="Y99" s="76">
        <f>SUM(Y95:Y98)</f>
        <v>5833.33</v>
      </c>
      <c r="Z99" s="76"/>
      <c r="AA99" s="76">
        <f>ROUND((W99-Y99),5)</f>
        <v>-130.69</v>
      </c>
      <c r="AB99" s="76"/>
      <c r="AC99" s="76"/>
      <c r="AD99" s="174">
        <f>SUM(AD95:AD98)</f>
        <v>0</v>
      </c>
      <c r="AE99" s="174"/>
      <c r="AF99" s="175"/>
      <c r="AG99" s="79"/>
      <c r="AH99" s="41">
        <v>42500</v>
      </c>
      <c r="AI99" s="41"/>
      <c r="AJ99" s="41">
        <v>28952.589999999997</v>
      </c>
      <c r="AK99" s="41"/>
      <c r="AL99" s="41">
        <f t="shared" ref="AL99" si="77">SUM(AL95:AL98)</f>
        <v>70000</v>
      </c>
      <c r="AM99" s="41"/>
      <c r="AN99" s="41">
        <v>32710.7</v>
      </c>
      <c r="AO99" s="41"/>
      <c r="AP99" s="41">
        <f>SUM(AP95:AP98)</f>
        <v>16104.650000000001</v>
      </c>
      <c r="AQ99" s="41"/>
      <c r="AR99" s="41">
        <f>SUM(AR95:AR98)</f>
        <v>17500.03</v>
      </c>
      <c r="AS99" s="41">
        <f t="shared" si="75"/>
        <v>32209.300000000003</v>
      </c>
      <c r="AT99" s="41"/>
      <c r="AU99" s="42"/>
      <c r="AV99" s="79">
        <f>SUM(AV95:AV98)</f>
        <v>63000</v>
      </c>
      <c r="AW99" s="80"/>
      <c r="AX99" s="81">
        <f t="shared" si="74"/>
        <v>-37289.300000000003</v>
      </c>
      <c r="AY99" s="88"/>
      <c r="AZ99" s="89">
        <f>AZ95+AZ96+AZ97+AZ98</f>
        <v>10202.34</v>
      </c>
      <c r="BA99" s="79"/>
      <c r="BB99" s="79"/>
      <c r="BC99" s="83"/>
      <c r="BD99" s="79">
        <f>SUM(BD95:BD98)</f>
        <v>23979.64</v>
      </c>
      <c r="BE99" s="79"/>
      <c r="BF99" s="79"/>
      <c r="BG99" s="79">
        <f>SUM(BG95:BG98)</f>
        <v>38000</v>
      </c>
      <c r="BH99" s="79"/>
      <c r="BI99" s="79">
        <f>SUM(BI95:BI98)</f>
        <v>26505.510000000002</v>
      </c>
      <c r="BJ99" s="79"/>
      <c r="BK99" s="79">
        <f>SUM(BK95:BK98)</f>
        <v>26500</v>
      </c>
      <c r="BL99" s="79"/>
      <c r="BM99" s="84">
        <f>BK99-BG99</f>
        <v>-11500</v>
      </c>
      <c r="BN99" s="84"/>
      <c r="BO99" s="79">
        <f>BO95+BO96+BO97+BO98</f>
        <v>18298.68</v>
      </c>
      <c r="BP99" s="79"/>
      <c r="BQ99" s="85">
        <f>SUM(BQ95:BQ98)</f>
        <v>38873.67</v>
      </c>
      <c r="BR99" s="85"/>
      <c r="BS99" s="85">
        <f>BS95+BS96+BS97+BS98</f>
        <v>12373.670000000002</v>
      </c>
      <c r="BT99" s="84"/>
      <c r="BU99" s="79">
        <f>BU95+BU96+BU97+BU98</f>
        <v>26000</v>
      </c>
      <c r="BV99" s="54"/>
      <c r="BW99" s="79">
        <f t="shared" si="65"/>
        <v>-500</v>
      </c>
      <c r="BX99" s="54"/>
      <c r="BY99" s="91"/>
      <c r="BZ99" s="79">
        <f>BZ95+BZ96+BZ97+BZ98</f>
        <v>23242.799999999999</v>
      </c>
      <c r="CA99" s="79"/>
      <c r="CB99" s="79">
        <f>CB95+CB96+CB97+CB98</f>
        <v>29000</v>
      </c>
      <c r="CC99" s="79"/>
      <c r="CD99" s="79">
        <f>CD95+CD96+CD97+CD98</f>
        <v>3767.6800000000003</v>
      </c>
      <c r="CE99" s="79"/>
      <c r="CF99" s="79">
        <f>CF95+CF96+CF97+CF98</f>
        <v>25500</v>
      </c>
      <c r="CG99" s="83"/>
      <c r="CH99" s="112">
        <f t="shared" ref="CH99:CH152" si="78">CB99-BU99</f>
        <v>3000</v>
      </c>
      <c r="CI99" s="199"/>
      <c r="CJ99" s="299"/>
    </row>
    <row r="100" spans="1:88" ht="13.5" customHeight="1" x14ac:dyDescent="0.2">
      <c r="A100" s="4"/>
      <c r="B100" s="27"/>
      <c r="C100" s="28"/>
      <c r="D100" s="28" t="s">
        <v>209</v>
      </c>
      <c r="E100" s="29"/>
      <c r="F100" s="28"/>
      <c r="G100" s="30"/>
      <c r="H100" s="31"/>
      <c r="I100" s="30"/>
      <c r="J100" s="31"/>
      <c r="K100" s="30"/>
      <c r="L100" s="31"/>
      <c r="M100" s="32"/>
      <c r="N100" s="31"/>
      <c r="O100" s="30"/>
      <c r="P100" s="31"/>
      <c r="Q100" s="30"/>
      <c r="R100" s="31"/>
      <c r="S100" s="30"/>
      <c r="T100" s="31"/>
      <c r="U100" s="32"/>
      <c r="V100" s="31"/>
      <c r="W100" s="33"/>
      <c r="X100" s="33"/>
      <c r="Y100" s="33"/>
      <c r="Z100" s="33"/>
      <c r="AA100" s="33"/>
      <c r="AB100" s="33"/>
      <c r="AC100" s="33"/>
      <c r="AD100" s="34"/>
      <c r="AE100" s="34"/>
      <c r="AF100" s="49"/>
      <c r="AG100" s="50"/>
      <c r="AH100" s="51"/>
      <c r="AI100" s="51"/>
      <c r="AJ100" s="51"/>
      <c r="AK100" s="51"/>
      <c r="AL100" s="51"/>
      <c r="AM100" s="51"/>
      <c r="AN100" s="51"/>
      <c r="AO100" s="51"/>
      <c r="AP100" s="51"/>
      <c r="AQ100" s="51"/>
      <c r="AR100" s="51"/>
      <c r="AS100" s="51"/>
      <c r="AT100" s="51"/>
      <c r="AU100" s="65"/>
      <c r="AV100" s="54"/>
      <c r="AW100" s="55"/>
      <c r="AX100" s="56">
        <f t="shared" si="74"/>
        <v>0</v>
      </c>
      <c r="AY100" s="88"/>
      <c r="AZ100" s="114"/>
      <c r="BA100" s="54"/>
      <c r="BB100" s="54"/>
      <c r="BC100" s="60"/>
      <c r="BD100" s="54"/>
      <c r="BE100" s="54"/>
      <c r="BF100" s="54"/>
      <c r="BG100" s="54"/>
      <c r="BH100" s="54"/>
      <c r="BI100" s="54"/>
      <c r="BJ100" s="54"/>
      <c r="BK100" s="54"/>
      <c r="BL100" s="54"/>
      <c r="BM100" s="58"/>
      <c r="BN100" s="58"/>
      <c r="BO100" s="54"/>
      <c r="BP100" s="54"/>
      <c r="BQ100" s="66"/>
      <c r="BR100" s="66"/>
      <c r="BS100" s="66"/>
      <c r="BT100" s="58"/>
      <c r="BU100" s="54"/>
      <c r="BV100" s="58"/>
      <c r="BW100" s="58">
        <f t="shared" si="65"/>
        <v>0</v>
      </c>
      <c r="BX100" s="58"/>
      <c r="BY100" s="91"/>
      <c r="BZ100" s="66"/>
      <c r="CA100" s="66"/>
      <c r="CB100" s="54"/>
      <c r="CC100" s="54"/>
      <c r="CD100" s="54"/>
      <c r="CE100" s="54"/>
      <c r="CF100" s="54"/>
      <c r="CG100" s="60"/>
      <c r="CH100" s="61"/>
      <c r="CI100" s="200"/>
      <c r="CJ100" s="294"/>
    </row>
    <row r="101" spans="1:88" ht="16.5" customHeight="1" x14ac:dyDescent="0.2">
      <c r="A101" s="4"/>
      <c r="B101" s="27"/>
      <c r="C101" s="28"/>
      <c r="D101" s="28"/>
      <c r="E101" s="363" t="s">
        <v>85</v>
      </c>
      <c r="F101" s="363"/>
      <c r="G101" s="30">
        <v>1051.42</v>
      </c>
      <c r="H101" s="31"/>
      <c r="I101" s="30">
        <v>416.63</v>
      </c>
      <c r="J101" s="31"/>
      <c r="K101" s="30">
        <f t="shared" ref="K101:K106" si="79">ROUND((G101-I101),5)</f>
        <v>634.79</v>
      </c>
      <c r="L101" s="31"/>
      <c r="M101" s="32">
        <f t="shared" ref="M101:M106" si="80">ROUND(IF(I101=0, IF(G101=0, 0, 1), G101/I101),5)</f>
        <v>2.5236299999999998</v>
      </c>
      <c r="N101" s="31"/>
      <c r="O101" s="30">
        <v>75</v>
      </c>
      <c r="P101" s="31"/>
      <c r="Q101" s="30">
        <v>416.67</v>
      </c>
      <c r="R101" s="31"/>
      <c r="S101" s="30">
        <f t="shared" ref="S101:S106" si="81">ROUND((O101-Q101),5)</f>
        <v>-341.67</v>
      </c>
      <c r="T101" s="31"/>
      <c r="U101" s="32">
        <f t="shared" ref="U101:U106" si="82">ROUND(IF(Q101=0, IF(O101=0, 0, 1), O101/Q101),5)</f>
        <v>0.18</v>
      </c>
      <c r="V101" s="31"/>
      <c r="W101" s="33">
        <v>60.9</v>
      </c>
      <c r="X101" s="33"/>
      <c r="Y101" s="33">
        <v>416.67</v>
      </c>
      <c r="Z101" s="33"/>
      <c r="AA101" s="33">
        <f t="shared" ref="AA101:AA106" si="83">ROUND((W101-Y101),5)</f>
        <v>-355.77</v>
      </c>
      <c r="AB101" s="33"/>
      <c r="AC101" s="33"/>
      <c r="AD101" s="34"/>
      <c r="AE101" s="34"/>
      <c r="AF101" s="49"/>
      <c r="AG101" s="50"/>
      <c r="AH101" s="51"/>
      <c r="AI101" s="51"/>
      <c r="AJ101" s="51">
        <v>5073.37</v>
      </c>
      <c r="AK101" s="51"/>
      <c r="AL101" s="51">
        <v>5000</v>
      </c>
      <c r="AM101" s="51"/>
      <c r="AN101" s="51">
        <v>4835.7</v>
      </c>
      <c r="AO101" s="51"/>
      <c r="AP101" s="51">
        <v>3619.55</v>
      </c>
      <c r="AQ101" s="51"/>
      <c r="AR101" s="51">
        <f>ROUND(I101+Q101+Y101,5)</f>
        <v>1249.97</v>
      </c>
      <c r="AS101" s="51">
        <f t="shared" ref="AS101:AS106" si="84">AP101*2</f>
        <v>7239.1</v>
      </c>
      <c r="AT101" s="51"/>
      <c r="AU101" s="53"/>
      <c r="AV101" s="54">
        <v>7500</v>
      </c>
      <c r="AW101" s="55"/>
      <c r="AX101" s="56">
        <f t="shared" si="74"/>
        <v>-164.30000000000018</v>
      </c>
      <c r="AY101" s="88"/>
      <c r="AZ101" s="89">
        <v>1261.9100000000001</v>
      </c>
      <c r="BA101" s="54"/>
      <c r="BB101" s="54"/>
      <c r="BC101" s="60"/>
      <c r="BD101" s="54">
        <v>3705.82</v>
      </c>
      <c r="BE101" s="54"/>
      <c r="BF101" s="54"/>
      <c r="BG101" s="54">
        <v>7500</v>
      </c>
      <c r="BH101" s="54"/>
      <c r="BI101" s="57">
        <v>2338.23</v>
      </c>
      <c r="BJ101" s="54"/>
      <c r="BK101" s="54">
        <v>2000</v>
      </c>
      <c r="BL101" s="54"/>
      <c r="BM101" s="58">
        <f t="shared" ref="BM101:BM106" si="85">BK101-BG101</f>
        <v>-5500</v>
      </c>
      <c r="BN101" s="58"/>
      <c r="BO101" s="54">
        <v>955.06</v>
      </c>
      <c r="BP101" s="54"/>
      <c r="BQ101" s="66">
        <f>1756.34+126.8</f>
        <v>1883.1399999999999</v>
      </c>
      <c r="BR101" s="66"/>
      <c r="BS101" s="66">
        <f t="shared" si="51"/>
        <v>-116.86000000000013</v>
      </c>
      <c r="BT101" s="58"/>
      <c r="BU101" s="54">
        <v>5000</v>
      </c>
      <c r="BV101" s="58"/>
      <c r="BW101" s="58">
        <f t="shared" si="65"/>
        <v>3000</v>
      </c>
      <c r="BX101" s="58"/>
      <c r="BY101" s="91" t="s">
        <v>280</v>
      </c>
      <c r="BZ101" s="66">
        <v>1981.54</v>
      </c>
      <c r="CA101" s="66"/>
      <c r="CB101" s="54">
        <v>2000</v>
      </c>
      <c r="CC101" s="54"/>
      <c r="CD101" s="54">
        <v>14347.2</v>
      </c>
      <c r="CE101" s="54"/>
      <c r="CF101" s="54">
        <v>2000</v>
      </c>
      <c r="CG101" s="60"/>
      <c r="CH101" s="61">
        <f t="shared" ref="CH101:CH122" si="86">CF101-CB101</f>
        <v>0</v>
      </c>
      <c r="CI101" s="200"/>
      <c r="CJ101" s="295" t="s">
        <v>204</v>
      </c>
    </row>
    <row r="102" spans="1:88" ht="16.5" customHeight="1" x14ac:dyDescent="0.2">
      <c r="A102" s="4"/>
      <c r="B102" s="27"/>
      <c r="C102" s="28"/>
      <c r="D102" s="28"/>
      <c r="E102" s="363" t="s">
        <v>211</v>
      </c>
      <c r="F102" s="363"/>
      <c r="G102" s="30">
        <v>69.989999999999995</v>
      </c>
      <c r="H102" s="31"/>
      <c r="I102" s="30">
        <v>250</v>
      </c>
      <c r="J102" s="31"/>
      <c r="K102" s="30">
        <f t="shared" si="79"/>
        <v>-180.01</v>
      </c>
      <c r="L102" s="31"/>
      <c r="M102" s="32">
        <f t="shared" si="80"/>
        <v>0.27995999999999999</v>
      </c>
      <c r="N102" s="31"/>
      <c r="O102" s="30">
        <v>0</v>
      </c>
      <c r="P102" s="31"/>
      <c r="Q102" s="30">
        <v>250</v>
      </c>
      <c r="R102" s="31"/>
      <c r="S102" s="30">
        <f t="shared" si="81"/>
        <v>-250</v>
      </c>
      <c r="T102" s="31"/>
      <c r="U102" s="32">
        <f t="shared" si="82"/>
        <v>0</v>
      </c>
      <c r="V102" s="31"/>
      <c r="W102" s="33">
        <v>225.53</v>
      </c>
      <c r="X102" s="33"/>
      <c r="Y102" s="33">
        <v>250</v>
      </c>
      <c r="Z102" s="33"/>
      <c r="AA102" s="33">
        <f t="shared" si="83"/>
        <v>-24.47</v>
      </c>
      <c r="AB102" s="33"/>
      <c r="AC102" s="33"/>
      <c r="AD102" s="34"/>
      <c r="AE102" s="34"/>
      <c r="AF102" s="49"/>
      <c r="AG102" s="50"/>
      <c r="AH102" s="51"/>
      <c r="AI102" s="51"/>
      <c r="AJ102" s="51">
        <v>3091.5</v>
      </c>
      <c r="AK102" s="51"/>
      <c r="AL102" s="51">
        <v>3000</v>
      </c>
      <c r="AM102" s="51"/>
      <c r="AN102" s="51">
        <v>2101.19</v>
      </c>
      <c r="AO102" s="51"/>
      <c r="AP102" s="51">
        <v>1800.81</v>
      </c>
      <c r="AQ102" s="51"/>
      <c r="AR102" s="51">
        <f>ROUND(I102+Q102+Y102,5)</f>
        <v>750</v>
      </c>
      <c r="AS102" s="51">
        <f t="shared" si="84"/>
        <v>3601.62</v>
      </c>
      <c r="AT102" s="51"/>
      <c r="AU102" s="53"/>
      <c r="AV102" s="54">
        <v>11000</v>
      </c>
      <c r="AW102" s="55"/>
      <c r="AX102" s="56">
        <f t="shared" si="74"/>
        <v>-898.81</v>
      </c>
      <c r="AY102" s="88"/>
      <c r="AZ102" s="89">
        <v>1789.86</v>
      </c>
      <c r="BA102" s="54"/>
      <c r="BB102" s="54"/>
      <c r="BC102" s="60"/>
      <c r="BD102" s="54">
        <v>31874.39</v>
      </c>
      <c r="BE102" s="54"/>
      <c r="BF102" s="54"/>
      <c r="BG102" s="54">
        <v>11000</v>
      </c>
      <c r="BH102" s="54"/>
      <c r="BI102" s="57">
        <v>3832.34</v>
      </c>
      <c r="BJ102" s="54"/>
      <c r="BK102" s="54">
        <v>3000</v>
      </c>
      <c r="BL102" s="54"/>
      <c r="BM102" s="58">
        <f t="shared" si="85"/>
        <v>-8000</v>
      </c>
      <c r="BN102" s="58"/>
      <c r="BO102" s="54">
        <v>1386.24</v>
      </c>
      <c r="BP102" s="54"/>
      <c r="BQ102" s="66">
        <v>2693.35</v>
      </c>
      <c r="BR102" s="66"/>
      <c r="BS102" s="66">
        <f t="shared" si="51"/>
        <v>-306.65000000000009</v>
      </c>
      <c r="BT102" s="58"/>
      <c r="BU102" s="54">
        <v>3000</v>
      </c>
      <c r="BV102" s="58"/>
      <c r="BW102" s="58">
        <f t="shared" si="65"/>
        <v>0</v>
      </c>
      <c r="BX102" s="58"/>
      <c r="BY102" s="91" t="s">
        <v>281</v>
      </c>
      <c r="BZ102" s="66">
        <v>6226.98</v>
      </c>
      <c r="CA102" s="66"/>
      <c r="CB102" s="54">
        <v>3000</v>
      </c>
      <c r="CC102" s="54"/>
      <c r="CD102" s="54">
        <v>9773.26</v>
      </c>
      <c r="CE102" s="54"/>
      <c r="CF102" s="54">
        <v>2000</v>
      </c>
      <c r="CG102" s="60"/>
      <c r="CH102" s="61">
        <f t="shared" si="86"/>
        <v>-1000</v>
      </c>
      <c r="CI102" s="200"/>
      <c r="CJ102" s="308" t="s">
        <v>237</v>
      </c>
    </row>
    <row r="103" spans="1:88" ht="16.5" customHeight="1" x14ac:dyDescent="0.2">
      <c r="A103" s="4"/>
      <c r="B103" s="27"/>
      <c r="C103" s="28"/>
      <c r="D103" s="28"/>
      <c r="E103" s="363" t="s">
        <v>86</v>
      </c>
      <c r="F103" s="363"/>
      <c r="G103" s="30">
        <v>452.5</v>
      </c>
      <c r="H103" s="31"/>
      <c r="I103" s="30">
        <v>416.63</v>
      </c>
      <c r="J103" s="31"/>
      <c r="K103" s="30">
        <f t="shared" si="79"/>
        <v>35.869999999999997</v>
      </c>
      <c r="L103" s="31"/>
      <c r="M103" s="32">
        <f t="shared" si="80"/>
        <v>1.0861000000000001</v>
      </c>
      <c r="N103" s="31"/>
      <c r="O103" s="30">
        <v>1339.15</v>
      </c>
      <c r="P103" s="31"/>
      <c r="Q103" s="30">
        <v>416.67</v>
      </c>
      <c r="R103" s="31"/>
      <c r="S103" s="30">
        <f t="shared" si="81"/>
        <v>922.48</v>
      </c>
      <c r="T103" s="31"/>
      <c r="U103" s="32">
        <f t="shared" si="82"/>
        <v>3.21393</v>
      </c>
      <c r="V103" s="31"/>
      <c r="W103" s="33">
        <v>331.71</v>
      </c>
      <c r="X103" s="33"/>
      <c r="Y103" s="33">
        <v>416.67</v>
      </c>
      <c r="Z103" s="33"/>
      <c r="AA103" s="33">
        <f t="shared" si="83"/>
        <v>-84.96</v>
      </c>
      <c r="AB103" s="33"/>
      <c r="AC103" s="33"/>
      <c r="AD103" s="34"/>
      <c r="AE103" s="34"/>
      <c r="AF103" s="49"/>
      <c r="AG103" s="50"/>
      <c r="AH103" s="51"/>
      <c r="AI103" s="51"/>
      <c r="AJ103" s="51">
        <v>5657.65</v>
      </c>
      <c r="AK103" s="51"/>
      <c r="AL103" s="51">
        <v>5000</v>
      </c>
      <c r="AM103" s="51"/>
      <c r="AN103" s="51">
        <v>2923.92</v>
      </c>
      <c r="AO103" s="51"/>
      <c r="AP103" s="51">
        <v>2323.6999999999998</v>
      </c>
      <c r="AQ103" s="51"/>
      <c r="AR103" s="51">
        <f>ROUND(I103+Q103+Y103,5)</f>
        <v>1249.97</v>
      </c>
      <c r="AS103" s="51">
        <f t="shared" si="84"/>
        <v>4647.3999999999996</v>
      </c>
      <c r="AT103" s="51"/>
      <c r="AU103" s="65"/>
      <c r="AV103" s="54">
        <v>5000</v>
      </c>
      <c r="AW103" s="55"/>
      <c r="AX103" s="56">
        <f t="shared" si="74"/>
        <v>-2076.08</v>
      </c>
      <c r="AY103" s="88"/>
      <c r="AZ103" s="89">
        <v>385.08</v>
      </c>
      <c r="BA103" s="54"/>
      <c r="BB103" s="54"/>
      <c r="BC103" s="60"/>
      <c r="BD103" s="54">
        <v>800.53</v>
      </c>
      <c r="BE103" s="54"/>
      <c r="BF103" s="54"/>
      <c r="BG103" s="54">
        <v>5000</v>
      </c>
      <c r="BH103" s="54"/>
      <c r="BI103" s="57">
        <v>1631.61</v>
      </c>
      <c r="BJ103" s="54"/>
      <c r="BK103" s="54">
        <v>2500</v>
      </c>
      <c r="BL103" s="54"/>
      <c r="BM103" s="58">
        <f t="shared" si="85"/>
        <v>-2500</v>
      </c>
      <c r="BN103" s="58"/>
      <c r="BO103" s="54">
        <v>1196.57</v>
      </c>
      <c r="BP103" s="54"/>
      <c r="BQ103" s="66">
        <v>1810.4</v>
      </c>
      <c r="BR103" s="66"/>
      <c r="BS103" s="66">
        <f t="shared" si="51"/>
        <v>-689.59999999999991</v>
      </c>
      <c r="BT103" s="58"/>
      <c r="BU103" s="54">
        <v>2500</v>
      </c>
      <c r="BV103" s="58"/>
      <c r="BW103" s="58">
        <f t="shared" si="65"/>
        <v>0</v>
      </c>
      <c r="BX103" s="58"/>
      <c r="BY103" s="90" t="s">
        <v>204</v>
      </c>
      <c r="BZ103" s="66">
        <v>7943.41</v>
      </c>
      <c r="CA103" s="66"/>
      <c r="CB103" s="54">
        <v>2500</v>
      </c>
      <c r="CC103" s="54"/>
      <c r="CD103" s="54">
        <v>4000.3</v>
      </c>
      <c r="CE103" s="54"/>
      <c r="CF103" s="54">
        <v>2500</v>
      </c>
      <c r="CG103" s="60"/>
      <c r="CH103" s="61">
        <f t="shared" si="86"/>
        <v>0</v>
      </c>
      <c r="CI103" s="200"/>
      <c r="CJ103" s="295" t="s">
        <v>204</v>
      </c>
    </row>
    <row r="104" spans="1:88" ht="13.5" customHeight="1" thickBot="1" x14ac:dyDescent="0.25">
      <c r="A104" s="4"/>
      <c r="B104" s="27"/>
      <c r="C104" s="28"/>
      <c r="D104" s="28"/>
      <c r="E104" s="363" t="s">
        <v>87</v>
      </c>
      <c r="F104" s="363"/>
      <c r="G104" s="30">
        <v>0</v>
      </c>
      <c r="H104" s="31"/>
      <c r="I104" s="30">
        <v>166.63</v>
      </c>
      <c r="J104" s="31"/>
      <c r="K104" s="30">
        <f t="shared" si="79"/>
        <v>-166.63</v>
      </c>
      <c r="L104" s="31"/>
      <c r="M104" s="32">
        <f t="shared" si="80"/>
        <v>0</v>
      </c>
      <c r="N104" s="31"/>
      <c r="O104" s="30">
        <v>0</v>
      </c>
      <c r="P104" s="31"/>
      <c r="Q104" s="30">
        <v>166.67</v>
      </c>
      <c r="R104" s="31"/>
      <c r="S104" s="30">
        <f t="shared" si="81"/>
        <v>-166.67</v>
      </c>
      <c r="T104" s="31"/>
      <c r="U104" s="32">
        <f t="shared" si="82"/>
        <v>0</v>
      </c>
      <c r="V104" s="31"/>
      <c r="W104" s="33">
        <v>0</v>
      </c>
      <c r="X104" s="33"/>
      <c r="Y104" s="33">
        <v>166.67</v>
      </c>
      <c r="Z104" s="33"/>
      <c r="AA104" s="33">
        <f t="shared" si="83"/>
        <v>-166.67</v>
      </c>
      <c r="AB104" s="33"/>
      <c r="AC104" s="33"/>
      <c r="AD104" s="34"/>
      <c r="AE104" s="34"/>
      <c r="AF104" s="49"/>
      <c r="AG104" s="50"/>
      <c r="AH104" s="51"/>
      <c r="AI104" s="51"/>
      <c r="AJ104" s="51">
        <v>2360.41</v>
      </c>
      <c r="AK104" s="51"/>
      <c r="AL104" s="51">
        <v>2000</v>
      </c>
      <c r="AM104" s="51"/>
      <c r="AN104" s="51">
        <v>77</v>
      </c>
      <c r="AO104" s="51"/>
      <c r="AP104" s="51">
        <v>87.75</v>
      </c>
      <c r="AQ104" s="51"/>
      <c r="AR104" s="51">
        <f>ROUND(I104+Q104+Y104,5)</f>
        <v>499.97</v>
      </c>
      <c r="AS104" s="51">
        <f t="shared" si="84"/>
        <v>175.5</v>
      </c>
      <c r="AT104" s="51"/>
      <c r="AU104" s="65"/>
      <c r="AV104" s="93">
        <v>5500</v>
      </c>
      <c r="AW104" s="94"/>
      <c r="AX104" s="95">
        <f t="shared" si="74"/>
        <v>-1923</v>
      </c>
      <c r="AY104" s="96"/>
      <c r="AZ104" s="97">
        <v>809.5</v>
      </c>
      <c r="BA104" s="93"/>
      <c r="BB104" s="93"/>
      <c r="BC104" s="99"/>
      <c r="BD104" s="93">
        <v>770.5</v>
      </c>
      <c r="BE104" s="93"/>
      <c r="BF104" s="93"/>
      <c r="BG104" s="93">
        <v>5500</v>
      </c>
      <c r="BH104" s="93"/>
      <c r="BI104" s="100">
        <v>692.75</v>
      </c>
      <c r="BJ104" s="93"/>
      <c r="BK104" s="93">
        <v>0</v>
      </c>
      <c r="BL104" s="93"/>
      <c r="BM104" s="101">
        <f t="shared" si="85"/>
        <v>-5500</v>
      </c>
      <c r="BN104" s="101"/>
      <c r="BO104" s="93">
        <v>0</v>
      </c>
      <c r="BP104" s="93"/>
      <c r="BQ104" s="102">
        <f t="shared" si="57"/>
        <v>0</v>
      </c>
      <c r="BR104" s="102"/>
      <c r="BS104" s="102">
        <f t="shared" si="51"/>
        <v>0</v>
      </c>
      <c r="BT104" s="101"/>
      <c r="BU104" s="93">
        <v>2000</v>
      </c>
      <c r="BV104" s="58"/>
      <c r="BW104" s="101">
        <f t="shared" si="65"/>
        <v>2000</v>
      </c>
      <c r="BX104" s="58"/>
      <c r="BY104" s="91" t="s">
        <v>282</v>
      </c>
      <c r="BZ104" s="102">
        <v>834</v>
      </c>
      <c r="CA104" s="102"/>
      <c r="CB104" s="93">
        <v>2000</v>
      </c>
      <c r="CC104" s="93"/>
      <c r="CD104" s="93">
        <v>0</v>
      </c>
      <c r="CE104" s="93"/>
      <c r="CF104" s="93">
        <v>1000</v>
      </c>
      <c r="CG104" s="99"/>
      <c r="CH104" s="103">
        <f t="shared" si="86"/>
        <v>-1000</v>
      </c>
      <c r="CI104" s="224"/>
      <c r="CJ104" s="308" t="s">
        <v>237</v>
      </c>
    </row>
    <row r="105" spans="1:88" ht="18.75" hidden="1" customHeight="1" thickBot="1" x14ac:dyDescent="0.25">
      <c r="A105" s="4"/>
      <c r="B105" s="27"/>
      <c r="C105" s="28"/>
      <c r="D105" s="28"/>
      <c r="E105" s="29" t="s">
        <v>88</v>
      </c>
      <c r="F105" s="28"/>
      <c r="G105" s="30">
        <v>0</v>
      </c>
      <c r="H105" s="31"/>
      <c r="I105" s="30">
        <v>2083.37</v>
      </c>
      <c r="J105" s="31"/>
      <c r="K105" s="30">
        <f t="shared" si="79"/>
        <v>-2083.37</v>
      </c>
      <c r="L105" s="31"/>
      <c r="M105" s="32">
        <f t="shared" si="80"/>
        <v>0</v>
      </c>
      <c r="N105" s="31"/>
      <c r="O105" s="30">
        <v>11545</v>
      </c>
      <c r="P105" s="31"/>
      <c r="Q105" s="30">
        <v>2083.33</v>
      </c>
      <c r="R105" s="31"/>
      <c r="S105" s="30">
        <f t="shared" si="81"/>
        <v>9461.67</v>
      </c>
      <c r="T105" s="31"/>
      <c r="U105" s="32">
        <f t="shared" si="82"/>
        <v>5.5416100000000004</v>
      </c>
      <c r="V105" s="31"/>
      <c r="W105" s="33">
        <v>0</v>
      </c>
      <c r="X105" s="33"/>
      <c r="Y105" s="33">
        <v>2083.33</v>
      </c>
      <c r="Z105" s="33"/>
      <c r="AA105" s="33">
        <f t="shared" si="83"/>
        <v>-2083.33</v>
      </c>
      <c r="AB105" s="33"/>
      <c r="AC105" s="33"/>
      <c r="AD105" s="34"/>
      <c r="AE105" s="34"/>
      <c r="AF105" s="71"/>
      <c r="AG105" s="72"/>
      <c r="AH105" s="73"/>
      <c r="AI105" s="73"/>
      <c r="AJ105" s="73">
        <v>18772.97</v>
      </c>
      <c r="AK105" s="73"/>
      <c r="AL105" s="73">
        <v>25000</v>
      </c>
      <c r="AM105" s="73"/>
      <c r="AN105" s="73">
        <v>15290.61</v>
      </c>
      <c r="AO105" s="73"/>
      <c r="AP105" s="73">
        <v>14560</v>
      </c>
      <c r="AQ105" s="73"/>
      <c r="AR105" s="73">
        <f>ROUND(I105+Q105+Y105,5)</f>
        <v>6250.03</v>
      </c>
      <c r="AS105" s="73">
        <f t="shared" si="84"/>
        <v>29120</v>
      </c>
      <c r="AT105" s="73"/>
      <c r="AU105" s="116"/>
      <c r="AV105" s="104">
        <v>1400</v>
      </c>
      <c r="AW105" s="105"/>
      <c r="AX105" s="106">
        <f t="shared" ref="AX105:AX174" si="87">AN105-AL105</f>
        <v>-9709.39</v>
      </c>
      <c r="AY105" s="96"/>
      <c r="AZ105" s="97">
        <v>1964.71</v>
      </c>
      <c r="BA105" s="104"/>
      <c r="BB105" s="104"/>
      <c r="BC105" s="107"/>
      <c r="BD105" s="79">
        <v>2282.6</v>
      </c>
      <c r="BE105" s="79"/>
      <c r="BF105" s="79"/>
      <c r="BG105" s="79">
        <v>1400</v>
      </c>
      <c r="BH105" s="79"/>
      <c r="BI105" s="176">
        <v>376.5</v>
      </c>
      <c r="BJ105" s="79"/>
      <c r="BK105" s="79">
        <v>0</v>
      </c>
      <c r="BL105" s="79"/>
      <c r="BM105" s="84">
        <f t="shared" si="85"/>
        <v>-1400</v>
      </c>
      <c r="BN105" s="84"/>
      <c r="BO105" s="79"/>
      <c r="BP105" s="79"/>
      <c r="BQ105" s="85">
        <f t="shared" si="57"/>
        <v>0</v>
      </c>
      <c r="BR105" s="85"/>
      <c r="BS105" s="85">
        <f t="shared" si="51"/>
        <v>0</v>
      </c>
      <c r="BT105" s="84"/>
      <c r="BU105" s="79">
        <v>0</v>
      </c>
      <c r="BV105" s="58"/>
      <c r="BW105" s="84">
        <f t="shared" si="65"/>
        <v>0</v>
      </c>
      <c r="BX105" s="58"/>
      <c r="BY105" s="91"/>
      <c r="BZ105" s="85">
        <f>BX105*2</f>
        <v>0</v>
      </c>
      <c r="CA105" s="85"/>
      <c r="CB105" s="79">
        <v>0</v>
      </c>
      <c r="CC105" s="79"/>
      <c r="CD105" s="79">
        <v>0</v>
      </c>
      <c r="CE105" s="79"/>
      <c r="CF105" s="79">
        <v>0</v>
      </c>
      <c r="CG105" s="83"/>
      <c r="CH105" s="112">
        <f t="shared" si="86"/>
        <v>0</v>
      </c>
      <c r="CI105" s="199"/>
      <c r="CJ105" s="299"/>
    </row>
    <row r="106" spans="1:88" ht="15.75" customHeight="1" thickBot="1" x14ac:dyDescent="0.25">
      <c r="A106" s="4"/>
      <c r="B106" s="27"/>
      <c r="C106" s="28"/>
      <c r="D106" s="28" t="s">
        <v>210</v>
      </c>
      <c r="E106" s="29"/>
      <c r="F106" s="28"/>
      <c r="G106" s="144">
        <f>ROUND(SUM(G100:G105),5)</f>
        <v>1573.91</v>
      </c>
      <c r="H106" s="31"/>
      <c r="I106" s="144">
        <f>ROUND(SUM(I100:I105),5)</f>
        <v>3333.26</v>
      </c>
      <c r="J106" s="31"/>
      <c r="K106" s="144">
        <f t="shared" si="79"/>
        <v>-1759.35</v>
      </c>
      <c r="L106" s="31"/>
      <c r="M106" s="145">
        <f t="shared" si="80"/>
        <v>0.47217999999999999</v>
      </c>
      <c r="N106" s="31"/>
      <c r="O106" s="144">
        <f>ROUND(SUM(O100:O105),5)</f>
        <v>12959.15</v>
      </c>
      <c r="P106" s="31"/>
      <c r="Q106" s="144">
        <f>ROUND(SUM(Q100:Q105),5)</f>
        <v>3333.34</v>
      </c>
      <c r="R106" s="31"/>
      <c r="S106" s="144">
        <f t="shared" si="81"/>
        <v>9625.81</v>
      </c>
      <c r="T106" s="31"/>
      <c r="U106" s="145">
        <f t="shared" si="82"/>
        <v>3.88774</v>
      </c>
      <c r="V106" s="31"/>
      <c r="W106" s="76">
        <f>SUM(W101:W105)</f>
        <v>618.14</v>
      </c>
      <c r="X106" s="76"/>
      <c r="Y106" s="76">
        <f>SUM(Y101:Y105)</f>
        <v>3333.34</v>
      </c>
      <c r="Z106" s="76"/>
      <c r="AA106" s="76">
        <f t="shared" si="83"/>
        <v>-2715.2</v>
      </c>
      <c r="AB106" s="76"/>
      <c r="AC106" s="76"/>
      <c r="AD106" s="174">
        <f>SUM(AD101:AD105)</f>
        <v>0</v>
      </c>
      <c r="AE106" s="174"/>
      <c r="AF106" s="175"/>
      <c r="AG106" s="79"/>
      <c r="AH106" s="41">
        <v>42500</v>
      </c>
      <c r="AI106" s="41"/>
      <c r="AJ106" s="41">
        <v>34955.9</v>
      </c>
      <c r="AK106" s="41"/>
      <c r="AL106" s="41">
        <f>SUM(AL101:AL105)</f>
        <v>40000</v>
      </c>
      <c r="AM106" s="41"/>
      <c r="AN106" s="41">
        <f>SUM(AN101:AN105)</f>
        <v>25228.42</v>
      </c>
      <c r="AO106" s="41"/>
      <c r="AP106" s="41">
        <f>SUM(AP101:AP105)</f>
        <v>22391.81</v>
      </c>
      <c r="AQ106" s="41"/>
      <c r="AR106" s="41">
        <f>SUM(AR101:AR105)</f>
        <v>9999.9399999999987</v>
      </c>
      <c r="AS106" s="41">
        <f t="shared" si="84"/>
        <v>44783.62</v>
      </c>
      <c r="AT106" s="41"/>
      <c r="AU106" s="42"/>
      <c r="AV106" s="79">
        <f>SUM(AV101:AV105)</f>
        <v>30400</v>
      </c>
      <c r="AW106" s="80"/>
      <c r="AX106" s="81">
        <f t="shared" si="87"/>
        <v>-14771.580000000002</v>
      </c>
      <c r="AY106" s="88"/>
      <c r="AZ106" s="89">
        <v>14124.54</v>
      </c>
      <c r="BA106" s="79"/>
      <c r="BB106" s="79"/>
      <c r="BC106" s="83"/>
      <c r="BD106" s="54">
        <f>SUM(BD101:BD105)</f>
        <v>39433.839999999997</v>
      </c>
      <c r="BE106" s="54"/>
      <c r="BF106" s="54"/>
      <c r="BG106" s="54">
        <f>SUM(BG101:BG105)</f>
        <v>30400</v>
      </c>
      <c r="BH106" s="54"/>
      <c r="BI106" s="54">
        <f>SUM(BI101:BI105)</f>
        <v>8871.43</v>
      </c>
      <c r="BJ106" s="54"/>
      <c r="BK106" s="54">
        <f>SUM(BK101:BK105)</f>
        <v>7500</v>
      </c>
      <c r="BL106" s="54"/>
      <c r="BM106" s="58">
        <f t="shared" si="85"/>
        <v>-22900</v>
      </c>
      <c r="BN106" s="58"/>
      <c r="BO106" s="54">
        <f>SUM(BO101:BO105)</f>
        <v>3537.87</v>
      </c>
      <c r="BP106" s="54"/>
      <c r="BQ106" s="66">
        <f>SUM(BQ101:BQ104)</f>
        <v>6386.8899999999994</v>
      </c>
      <c r="BR106" s="66"/>
      <c r="BS106" s="66">
        <f>BS101+BS102+BS103+BS104</f>
        <v>-1113.1100000000001</v>
      </c>
      <c r="BT106" s="58"/>
      <c r="BU106" s="54">
        <f>SUM(BU101:BU105)</f>
        <v>12500</v>
      </c>
      <c r="BV106" s="58"/>
      <c r="BW106" s="58">
        <f t="shared" si="65"/>
        <v>5000</v>
      </c>
      <c r="BX106" s="58"/>
      <c r="BY106" s="91"/>
      <c r="BZ106" s="54">
        <f>SUM(BZ101:BZ105)</f>
        <v>16985.93</v>
      </c>
      <c r="CA106" s="54"/>
      <c r="CB106" s="54">
        <f>SUM(CB101:CB105)</f>
        <v>9500</v>
      </c>
      <c r="CC106" s="54"/>
      <c r="CD106" s="54">
        <f>SUM(CD101:CD105)</f>
        <v>28120.76</v>
      </c>
      <c r="CE106" s="54"/>
      <c r="CF106" s="54">
        <f>SUM(CF101:CF105)</f>
        <v>7500</v>
      </c>
      <c r="CG106" s="60"/>
      <c r="CH106" s="61">
        <f t="shared" si="86"/>
        <v>-2000</v>
      </c>
      <c r="CI106" s="200"/>
      <c r="CJ106" s="294"/>
    </row>
    <row r="107" spans="1:88" ht="13.5" customHeight="1" x14ac:dyDescent="0.2">
      <c r="A107" s="4"/>
      <c r="B107" s="27"/>
      <c r="C107" s="28"/>
      <c r="D107" s="28" t="s">
        <v>208</v>
      </c>
      <c r="E107" s="29"/>
      <c r="F107" s="28"/>
      <c r="G107" s="30"/>
      <c r="H107" s="31"/>
      <c r="I107" s="30"/>
      <c r="J107" s="31"/>
      <c r="K107" s="30"/>
      <c r="L107" s="31"/>
      <c r="M107" s="32"/>
      <c r="N107" s="31"/>
      <c r="O107" s="30"/>
      <c r="P107" s="31"/>
      <c r="Q107" s="30"/>
      <c r="R107" s="31"/>
      <c r="S107" s="30"/>
      <c r="T107" s="31"/>
      <c r="U107" s="32"/>
      <c r="V107" s="31"/>
      <c r="W107" s="33"/>
      <c r="X107" s="33"/>
      <c r="Y107" s="33"/>
      <c r="Z107" s="33"/>
      <c r="AA107" s="33"/>
      <c r="AB107" s="33"/>
      <c r="AC107" s="33"/>
      <c r="AD107" s="34"/>
      <c r="AE107" s="34"/>
      <c r="AF107" s="49"/>
      <c r="AG107" s="50"/>
      <c r="AH107" s="51"/>
      <c r="AI107" s="51"/>
      <c r="AJ107" s="51"/>
      <c r="AK107" s="51"/>
      <c r="AL107" s="51"/>
      <c r="AM107" s="51"/>
      <c r="AN107" s="51"/>
      <c r="AO107" s="51"/>
      <c r="AP107" s="51"/>
      <c r="AQ107" s="51"/>
      <c r="AR107" s="51"/>
      <c r="AS107" s="51"/>
      <c r="AT107" s="51"/>
      <c r="AU107" s="65"/>
      <c r="AV107" s="54"/>
      <c r="AW107" s="55"/>
      <c r="AX107" s="56">
        <f t="shared" si="87"/>
        <v>0</v>
      </c>
      <c r="AY107" s="88"/>
      <c r="AZ107" s="114"/>
      <c r="BA107" s="54"/>
      <c r="BB107" s="54"/>
      <c r="BC107" s="60"/>
      <c r="BD107" s="54"/>
      <c r="BE107" s="54"/>
      <c r="BF107" s="54"/>
      <c r="BG107" s="54"/>
      <c r="BH107" s="54"/>
      <c r="BI107" s="54"/>
      <c r="BJ107" s="54"/>
      <c r="BK107" s="54"/>
      <c r="BL107" s="54"/>
      <c r="BM107" s="58"/>
      <c r="BN107" s="58"/>
      <c r="BO107" s="54"/>
      <c r="BP107" s="54"/>
      <c r="BQ107" s="66"/>
      <c r="BR107" s="66"/>
      <c r="BS107" s="66"/>
      <c r="BT107" s="58"/>
      <c r="BU107" s="113"/>
      <c r="BV107" s="58"/>
      <c r="BW107" s="58">
        <f t="shared" si="65"/>
        <v>0</v>
      </c>
      <c r="BX107" s="58"/>
      <c r="BY107" s="91"/>
      <c r="BZ107" s="66"/>
      <c r="CA107" s="66"/>
      <c r="CB107" s="177"/>
      <c r="CC107" s="177"/>
      <c r="CD107" s="177"/>
      <c r="CE107" s="177"/>
      <c r="CF107" s="177"/>
      <c r="CG107" s="178"/>
      <c r="CH107" s="61">
        <f t="shared" si="86"/>
        <v>0</v>
      </c>
      <c r="CI107" s="200"/>
      <c r="CJ107" s="294"/>
    </row>
    <row r="108" spans="1:88" ht="13.5" customHeight="1" thickBot="1" x14ac:dyDescent="0.25">
      <c r="A108" s="4"/>
      <c r="B108" s="27"/>
      <c r="C108" s="28"/>
      <c r="D108" s="28"/>
      <c r="E108" s="363" t="s">
        <v>78</v>
      </c>
      <c r="F108" s="363"/>
      <c r="G108" s="68">
        <v>192.5</v>
      </c>
      <c r="H108" s="31"/>
      <c r="I108" s="68">
        <v>1309.47</v>
      </c>
      <c r="J108" s="31"/>
      <c r="K108" s="68">
        <f>ROUND((G108-I108),5)</f>
        <v>-1116.97</v>
      </c>
      <c r="L108" s="31"/>
      <c r="M108" s="69">
        <f>ROUND(IF(I108=0, IF(G108=0, 0, 1), G108/I108),5)</f>
        <v>0.14701</v>
      </c>
      <c r="N108" s="31"/>
      <c r="O108" s="68">
        <v>981.95</v>
      </c>
      <c r="P108" s="31"/>
      <c r="Q108" s="68">
        <v>1309.45</v>
      </c>
      <c r="R108" s="31"/>
      <c r="S108" s="68">
        <f>ROUND((O108-Q108),5)</f>
        <v>-327.5</v>
      </c>
      <c r="T108" s="31"/>
      <c r="U108" s="69">
        <f>ROUND(IF(Q108=0, IF(O108=0, 0, 1), O108/Q108),5)</f>
        <v>0.74988999999999995</v>
      </c>
      <c r="V108" s="31"/>
      <c r="W108" s="33">
        <v>167.65</v>
      </c>
      <c r="X108" s="33"/>
      <c r="Y108" s="33">
        <v>1309.45</v>
      </c>
      <c r="Z108" s="33"/>
      <c r="AA108" s="33">
        <f>ROUND((W108-Y108),5)</f>
        <v>-1141.8</v>
      </c>
      <c r="AB108" s="33"/>
      <c r="AC108" s="33"/>
      <c r="AD108" s="34"/>
      <c r="AE108" s="34"/>
      <c r="AF108" s="49"/>
      <c r="AG108" s="50"/>
      <c r="AH108" s="51"/>
      <c r="AI108" s="51"/>
      <c r="AJ108" s="51"/>
      <c r="AK108" s="51"/>
      <c r="AL108" s="51">
        <v>15713.42</v>
      </c>
      <c r="AM108" s="51"/>
      <c r="AN108" s="51">
        <v>2195.5</v>
      </c>
      <c r="AO108" s="51"/>
      <c r="AP108" s="51">
        <v>1347.6</v>
      </c>
      <c r="AQ108" s="51"/>
      <c r="AR108" s="51">
        <f>ROUND(I108+Q108+Y108,5)</f>
        <v>3928.37</v>
      </c>
      <c r="AS108" s="51">
        <f>AP108*2</f>
        <v>2695.2</v>
      </c>
      <c r="AT108" s="51"/>
      <c r="AU108" s="53"/>
      <c r="AV108" s="54">
        <v>8100</v>
      </c>
      <c r="AW108" s="55"/>
      <c r="AX108" s="56">
        <f>AN108-AL108</f>
        <v>-13517.92</v>
      </c>
      <c r="AY108" s="88"/>
      <c r="AZ108" s="89">
        <v>18859.52</v>
      </c>
      <c r="BA108" s="54"/>
      <c r="BB108" s="54"/>
      <c r="BC108" s="60"/>
      <c r="BD108" s="54">
        <v>29674.63</v>
      </c>
      <c r="BE108" s="54"/>
      <c r="BF108" s="54"/>
      <c r="BG108" s="54">
        <v>8100</v>
      </c>
      <c r="BH108" s="54"/>
      <c r="BI108" s="57">
        <v>19144.96</v>
      </c>
      <c r="BJ108" s="54"/>
      <c r="BK108" s="54">
        <v>10500</v>
      </c>
      <c r="BL108" s="54"/>
      <c r="BM108" s="58">
        <f t="shared" ref="BM108:BM112" si="88">BK108-BG108</f>
        <v>2400</v>
      </c>
      <c r="BN108" s="58"/>
      <c r="BO108" s="54">
        <v>5170.46</v>
      </c>
      <c r="BP108" s="54"/>
      <c r="BQ108" s="66">
        <v>17122.099999999999</v>
      </c>
      <c r="BR108" s="66"/>
      <c r="BS108" s="66">
        <f t="shared" si="51"/>
        <v>6622.0999999999985</v>
      </c>
      <c r="BT108" s="58"/>
      <c r="BU108" s="54">
        <v>18000</v>
      </c>
      <c r="BV108" s="58"/>
      <c r="BW108" s="58">
        <f t="shared" si="65"/>
        <v>7500</v>
      </c>
      <c r="BX108" s="58"/>
      <c r="BY108" s="91" t="s">
        <v>283</v>
      </c>
      <c r="BZ108" s="66">
        <v>12142.59</v>
      </c>
      <c r="CA108" s="66"/>
      <c r="CB108" s="54">
        <v>18000</v>
      </c>
      <c r="CC108" s="54"/>
      <c r="CD108" s="54">
        <v>6710.68</v>
      </c>
      <c r="CE108" s="54"/>
      <c r="CF108" s="54">
        <v>18000</v>
      </c>
      <c r="CG108" s="60"/>
      <c r="CH108" s="61">
        <f t="shared" si="86"/>
        <v>0</v>
      </c>
      <c r="CI108" s="200"/>
      <c r="CJ108" s="295" t="s">
        <v>204</v>
      </c>
    </row>
    <row r="109" spans="1:88" ht="13.5" customHeight="1" x14ac:dyDescent="0.2">
      <c r="A109" s="4"/>
      <c r="B109" s="27"/>
      <c r="C109" s="28"/>
      <c r="D109" s="28"/>
      <c r="E109" s="363" t="s">
        <v>77</v>
      </c>
      <c r="F109" s="363"/>
      <c r="G109" s="30">
        <v>0</v>
      </c>
      <c r="H109" s="31"/>
      <c r="I109" s="30">
        <v>29.14</v>
      </c>
      <c r="J109" s="31"/>
      <c r="K109" s="30">
        <f>ROUND((G109-I109),5)</f>
        <v>-29.14</v>
      </c>
      <c r="L109" s="31"/>
      <c r="M109" s="32">
        <f>ROUND(IF(I109=0, IF(G109=0, 0, 1), G109/I109),5)</f>
        <v>0</v>
      </c>
      <c r="N109" s="31"/>
      <c r="O109" s="30">
        <v>0</v>
      </c>
      <c r="P109" s="31"/>
      <c r="Q109" s="30">
        <v>29.2</v>
      </c>
      <c r="R109" s="31"/>
      <c r="S109" s="30">
        <f>ROUND((O109-Q109),5)</f>
        <v>-29.2</v>
      </c>
      <c r="T109" s="31"/>
      <c r="U109" s="32">
        <f>ROUND(IF(Q109=0, IF(O109=0, 0, 1), O109/Q109),5)</f>
        <v>0</v>
      </c>
      <c r="V109" s="31"/>
      <c r="W109" s="33">
        <v>0</v>
      </c>
      <c r="X109" s="33"/>
      <c r="Y109" s="33">
        <v>29.2</v>
      </c>
      <c r="Z109" s="33"/>
      <c r="AA109" s="33">
        <f>ROUND((W109-Y109),5)</f>
        <v>-29.2</v>
      </c>
      <c r="AB109" s="33"/>
      <c r="AC109" s="33"/>
      <c r="AD109" s="34"/>
      <c r="AE109" s="34"/>
      <c r="AF109" s="49"/>
      <c r="AG109" s="50"/>
      <c r="AH109" s="51"/>
      <c r="AI109" s="51"/>
      <c r="AJ109" s="51"/>
      <c r="AK109" s="51"/>
      <c r="AL109" s="51">
        <v>350.34</v>
      </c>
      <c r="AM109" s="51"/>
      <c r="AN109" s="51">
        <v>10651.32</v>
      </c>
      <c r="AO109" s="51"/>
      <c r="AP109" s="51">
        <v>2255.64</v>
      </c>
      <c r="AQ109" s="51"/>
      <c r="AR109" s="51">
        <f>ROUND(I109+Q109+Y109,5)</f>
        <v>87.54</v>
      </c>
      <c r="AS109" s="51">
        <f>AP109*2</f>
        <v>4511.28</v>
      </c>
      <c r="AT109" s="51"/>
      <c r="AU109" s="53"/>
      <c r="AV109" s="54">
        <v>7500</v>
      </c>
      <c r="AW109" s="55"/>
      <c r="AX109" s="56">
        <f>AN109-AL109</f>
        <v>10300.98</v>
      </c>
      <c r="AY109" s="88"/>
      <c r="AZ109" s="89">
        <v>477.79</v>
      </c>
      <c r="BA109" s="54"/>
      <c r="BB109" s="54"/>
      <c r="BC109" s="60"/>
      <c r="BD109" s="54">
        <f>5238.05+1134.92</f>
        <v>6372.97</v>
      </c>
      <c r="BE109" s="54"/>
      <c r="BF109" s="54"/>
      <c r="BG109" s="54">
        <v>7500</v>
      </c>
      <c r="BH109" s="54"/>
      <c r="BI109" s="57">
        <v>10104.24</v>
      </c>
      <c r="BJ109" s="54"/>
      <c r="BK109" s="54">
        <v>8500</v>
      </c>
      <c r="BL109" s="54"/>
      <c r="BM109" s="58">
        <f t="shared" si="88"/>
        <v>1000</v>
      </c>
      <c r="BN109" s="58"/>
      <c r="BO109" s="54">
        <v>8347.48</v>
      </c>
      <c r="BP109" s="54"/>
      <c r="BQ109" s="66">
        <v>8426.17</v>
      </c>
      <c r="BR109" s="66"/>
      <c r="BS109" s="66">
        <f t="shared" si="51"/>
        <v>-73.829999999999927</v>
      </c>
      <c r="BT109" s="58"/>
      <c r="BU109" s="54">
        <v>3000</v>
      </c>
      <c r="BV109" s="58"/>
      <c r="BW109" s="58">
        <f t="shared" si="65"/>
        <v>-5500</v>
      </c>
      <c r="BX109" s="58"/>
      <c r="BY109" s="91" t="s">
        <v>283</v>
      </c>
      <c r="BZ109" s="66">
        <v>922.32</v>
      </c>
      <c r="CA109" s="66"/>
      <c r="CB109" s="54">
        <v>3000</v>
      </c>
      <c r="CC109" s="54"/>
      <c r="CD109" s="54">
        <v>1933.56</v>
      </c>
      <c r="CE109" s="54"/>
      <c r="CF109" s="54">
        <v>3000</v>
      </c>
      <c r="CG109" s="60"/>
      <c r="CH109" s="61">
        <f t="shared" si="86"/>
        <v>0</v>
      </c>
      <c r="CI109" s="200"/>
      <c r="CJ109" s="295" t="s">
        <v>204</v>
      </c>
    </row>
    <row r="110" spans="1:88" ht="13.5" customHeight="1" x14ac:dyDescent="0.2">
      <c r="A110" s="4"/>
      <c r="B110" s="27"/>
      <c r="C110" s="28"/>
      <c r="D110" s="28"/>
      <c r="E110" s="363" t="s">
        <v>76</v>
      </c>
      <c r="F110" s="363"/>
      <c r="G110" s="30">
        <v>0</v>
      </c>
      <c r="H110" s="31"/>
      <c r="I110" s="30">
        <v>2155.2800000000002</v>
      </c>
      <c r="J110" s="31"/>
      <c r="K110" s="30">
        <f>ROUND((G110-I110),5)</f>
        <v>-2155.2800000000002</v>
      </c>
      <c r="L110" s="31"/>
      <c r="M110" s="32">
        <f>ROUND(IF(I110=0, IF(G110=0, 0, 1), G110/I110),5)</f>
        <v>0</v>
      </c>
      <c r="N110" s="31"/>
      <c r="O110" s="30">
        <v>4086.14</v>
      </c>
      <c r="P110" s="31"/>
      <c r="Q110" s="30">
        <v>2155.2399999999998</v>
      </c>
      <c r="R110" s="31"/>
      <c r="S110" s="30">
        <f>ROUND((O110-Q110),5)</f>
        <v>1930.9</v>
      </c>
      <c r="T110" s="31"/>
      <c r="U110" s="32">
        <f>ROUND(IF(Q110=0, IF(O110=0, 0, 1), O110/Q110),5)</f>
        <v>1.89591</v>
      </c>
      <c r="V110" s="31"/>
      <c r="W110" s="33">
        <v>0</v>
      </c>
      <c r="X110" s="33"/>
      <c r="Y110" s="33">
        <v>2155.2399999999998</v>
      </c>
      <c r="Z110" s="33"/>
      <c r="AA110" s="33">
        <f>ROUND((W110-Y110),5)</f>
        <v>-2155.2399999999998</v>
      </c>
      <c r="AB110" s="33"/>
      <c r="AC110" s="33"/>
      <c r="AD110" s="34"/>
      <c r="AE110" s="34"/>
      <c r="AF110" s="49"/>
      <c r="AG110" s="50"/>
      <c r="AH110" s="51"/>
      <c r="AI110" s="51"/>
      <c r="AJ110" s="51"/>
      <c r="AK110" s="51"/>
      <c r="AL110" s="51">
        <v>25862.92</v>
      </c>
      <c r="AM110" s="51"/>
      <c r="AN110" s="51">
        <v>19199.52</v>
      </c>
      <c r="AO110" s="51"/>
      <c r="AP110" s="51">
        <v>12410.05</v>
      </c>
      <c r="AQ110" s="51"/>
      <c r="AR110" s="51">
        <f>ROUND(I110+Q110+Y110,5)</f>
        <v>6465.76</v>
      </c>
      <c r="AS110" s="51">
        <f>AP110*2</f>
        <v>24820.1</v>
      </c>
      <c r="AT110" s="51"/>
      <c r="AU110" s="53"/>
      <c r="AV110" s="54">
        <v>5000</v>
      </c>
      <c r="AW110" s="55"/>
      <c r="AX110" s="56">
        <f>AN110-AL110</f>
        <v>-6663.3999999999978</v>
      </c>
      <c r="AY110" s="88"/>
      <c r="AZ110" s="89">
        <v>2720.72</v>
      </c>
      <c r="BA110" s="54"/>
      <c r="BB110" s="54"/>
      <c r="BC110" s="60"/>
      <c r="BD110" s="54">
        <v>5008.38</v>
      </c>
      <c r="BE110" s="54"/>
      <c r="BF110" s="54"/>
      <c r="BG110" s="54">
        <v>5000</v>
      </c>
      <c r="BH110" s="54"/>
      <c r="BI110" s="57">
        <v>7968.23</v>
      </c>
      <c r="BJ110" s="54"/>
      <c r="BK110" s="54">
        <v>9000</v>
      </c>
      <c r="BL110" s="54"/>
      <c r="BM110" s="58">
        <f t="shared" si="88"/>
        <v>4000</v>
      </c>
      <c r="BN110" s="58"/>
      <c r="BO110" s="54">
        <v>4484.42</v>
      </c>
      <c r="BP110" s="54"/>
      <c r="BQ110" s="66">
        <v>5174.5200000000004</v>
      </c>
      <c r="BR110" s="66"/>
      <c r="BS110" s="66">
        <f t="shared" si="51"/>
        <v>-3825.4799999999996</v>
      </c>
      <c r="BT110" s="58"/>
      <c r="BU110" s="54">
        <v>7500</v>
      </c>
      <c r="BV110" s="58"/>
      <c r="BW110" s="58">
        <f t="shared" si="65"/>
        <v>-1500</v>
      </c>
      <c r="BX110" s="58"/>
      <c r="BY110" s="91" t="s">
        <v>283</v>
      </c>
      <c r="BZ110" s="66">
        <v>4585.6099999999997</v>
      </c>
      <c r="CA110" s="66"/>
      <c r="CB110" s="54">
        <v>7500</v>
      </c>
      <c r="CC110" s="54"/>
      <c r="CD110" s="54">
        <v>2043.88</v>
      </c>
      <c r="CE110" s="54"/>
      <c r="CF110" s="54">
        <v>7500</v>
      </c>
      <c r="CG110" s="60"/>
      <c r="CH110" s="61">
        <f t="shared" si="86"/>
        <v>0</v>
      </c>
      <c r="CI110" s="200"/>
      <c r="CJ110" s="295" t="s">
        <v>204</v>
      </c>
    </row>
    <row r="111" spans="1:88" ht="13.5" customHeight="1" x14ac:dyDescent="0.2">
      <c r="A111" s="4"/>
      <c r="B111" s="27"/>
      <c r="C111" s="28"/>
      <c r="D111" s="28"/>
      <c r="E111" s="363" t="s">
        <v>75</v>
      </c>
      <c r="F111" s="363"/>
      <c r="G111" s="30">
        <v>1561.13</v>
      </c>
      <c r="H111" s="31"/>
      <c r="I111" s="30">
        <v>2331.9899999999998</v>
      </c>
      <c r="J111" s="31"/>
      <c r="K111" s="30">
        <f>ROUND((G111-I111),5)</f>
        <v>-770.86</v>
      </c>
      <c r="L111" s="31"/>
      <c r="M111" s="32">
        <f>ROUND(IF(I111=0, IF(G111=0, 0, 1), G111/I111),5)</f>
        <v>0.66944000000000004</v>
      </c>
      <c r="N111" s="31"/>
      <c r="O111" s="30">
        <v>1950.89</v>
      </c>
      <c r="P111" s="31"/>
      <c r="Q111" s="30">
        <v>2331.9899999999998</v>
      </c>
      <c r="R111" s="31"/>
      <c r="S111" s="30">
        <f>ROUND((O111-Q111),5)</f>
        <v>-381.1</v>
      </c>
      <c r="T111" s="31"/>
      <c r="U111" s="32">
        <f>ROUND(IF(Q111=0, IF(O111=0, 0, 1), O111/Q111),5)</f>
        <v>0.83657999999999999</v>
      </c>
      <c r="V111" s="31"/>
      <c r="W111" s="33">
        <v>1444.01</v>
      </c>
      <c r="X111" s="33"/>
      <c r="Y111" s="33">
        <v>2331.9699999999998</v>
      </c>
      <c r="Z111" s="33"/>
      <c r="AA111" s="33">
        <f>ROUND((W111-Y111),5)</f>
        <v>-887.96</v>
      </c>
      <c r="AB111" s="33"/>
      <c r="AC111" s="33"/>
      <c r="AD111" s="34"/>
      <c r="AE111" s="34"/>
      <c r="AF111" s="49"/>
      <c r="AG111" s="50"/>
      <c r="AH111" s="51"/>
      <c r="AI111" s="51"/>
      <c r="AJ111" s="51"/>
      <c r="AK111" s="51"/>
      <c r="AL111" s="51">
        <v>27983.68</v>
      </c>
      <c r="AM111" s="51"/>
      <c r="AN111" s="51">
        <v>2255.64</v>
      </c>
      <c r="AO111" s="51"/>
      <c r="AP111" s="51">
        <v>7646.06</v>
      </c>
      <c r="AQ111" s="51"/>
      <c r="AR111" s="51">
        <f>ROUND(I111+Q111+Y111,5)</f>
        <v>6995.95</v>
      </c>
      <c r="AS111" s="51">
        <f>AP111*2</f>
        <v>15292.12</v>
      </c>
      <c r="AT111" s="51"/>
      <c r="AU111" s="53"/>
      <c r="AV111" s="54">
        <v>2500</v>
      </c>
      <c r="AW111" s="55"/>
      <c r="AX111" s="56">
        <f>AN111-AL111</f>
        <v>-25728.04</v>
      </c>
      <c r="AY111" s="88"/>
      <c r="AZ111" s="89">
        <v>7262.14</v>
      </c>
      <c r="BA111" s="54"/>
      <c r="BB111" s="54"/>
      <c r="BC111" s="60"/>
      <c r="BD111" s="54">
        <v>22724.639999999999</v>
      </c>
      <c r="BE111" s="54"/>
      <c r="BF111" s="54"/>
      <c r="BG111" s="54">
        <v>2500</v>
      </c>
      <c r="BH111" s="54"/>
      <c r="BI111" s="57">
        <v>12689.14</v>
      </c>
      <c r="BJ111" s="54"/>
      <c r="BK111" s="54">
        <v>9000</v>
      </c>
      <c r="BL111" s="54"/>
      <c r="BM111" s="58">
        <f t="shared" si="88"/>
        <v>6500</v>
      </c>
      <c r="BN111" s="58"/>
      <c r="BO111" s="54">
        <v>4284.51</v>
      </c>
      <c r="BP111" s="54"/>
      <c r="BQ111" s="66">
        <v>6366.11</v>
      </c>
      <c r="BR111" s="66"/>
      <c r="BS111" s="66">
        <f t="shared" si="51"/>
        <v>-2633.8900000000003</v>
      </c>
      <c r="BT111" s="58"/>
      <c r="BU111" s="54">
        <v>3000</v>
      </c>
      <c r="BV111" s="58"/>
      <c r="BW111" s="58">
        <f t="shared" si="65"/>
        <v>-6000</v>
      </c>
      <c r="BX111" s="165"/>
      <c r="BY111" s="91" t="s">
        <v>283</v>
      </c>
      <c r="BZ111" s="66">
        <v>4895</v>
      </c>
      <c r="CA111" s="66"/>
      <c r="CB111" s="54">
        <v>3000</v>
      </c>
      <c r="CC111" s="54"/>
      <c r="CD111" s="54">
        <v>8185</v>
      </c>
      <c r="CE111" s="54"/>
      <c r="CF111" s="54">
        <v>3000</v>
      </c>
      <c r="CG111" s="60"/>
      <c r="CH111" s="61">
        <f t="shared" si="86"/>
        <v>0</v>
      </c>
      <c r="CI111" s="200"/>
      <c r="CJ111" s="295" t="s">
        <v>204</v>
      </c>
    </row>
    <row r="112" spans="1:88" ht="13.5" customHeight="1" thickBot="1" x14ac:dyDescent="0.25">
      <c r="A112" s="4"/>
      <c r="B112" s="27"/>
      <c r="C112" s="28"/>
      <c r="D112" s="28"/>
      <c r="E112" s="363" t="s">
        <v>74</v>
      </c>
      <c r="F112" s="363"/>
      <c r="G112" s="30">
        <v>0</v>
      </c>
      <c r="H112" s="31"/>
      <c r="I112" s="30">
        <v>1008.38</v>
      </c>
      <c r="J112" s="31"/>
      <c r="K112" s="30">
        <f t="shared" ref="K112:K122" si="89">ROUND((G112-I112),5)</f>
        <v>-1008.38</v>
      </c>
      <c r="L112" s="31"/>
      <c r="M112" s="32">
        <f t="shared" ref="M112:M122" si="90">ROUND(IF(I112=0, IF(G112=0, 0, 1), G112/I112),5)</f>
        <v>0</v>
      </c>
      <c r="N112" s="31"/>
      <c r="O112" s="30">
        <v>345</v>
      </c>
      <c r="P112" s="31"/>
      <c r="Q112" s="30">
        <v>1008.42</v>
      </c>
      <c r="R112" s="31"/>
      <c r="S112" s="30">
        <f t="shared" ref="S112:S122" si="91">ROUND((O112-Q112),5)</f>
        <v>-663.42</v>
      </c>
      <c r="T112" s="31"/>
      <c r="U112" s="32">
        <f t="shared" ref="U112:U122" si="92">ROUND(IF(Q112=0, IF(O112=0, 0, 1), O112/Q112),5)</f>
        <v>0.34211999999999998</v>
      </c>
      <c r="V112" s="31"/>
      <c r="W112" s="33">
        <v>50</v>
      </c>
      <c r="X112" s="33"/>
      <c r="Y112" s="33">
        <v>1008.42</v>
      </c>
      <c r="Z112" s="33"/>
      <c r="AA112" s="33">
        <f t="shared" ref="AA112:AA122" si="93">ROUND((W112-Y112),5)</f>
        <v>-958.42</v>
      </c>
      <c r="AB112" s="33"/>
      <c r="AC112" s="33"/>
      <c r="AD112" s="34"/>
      <c r="AE112" s="34"/>
      <c r="AF112" s="146"/>
      <c r="AG112" s="147"/>
      <c r="AH112" s="148"/>
      <c r="AI112" s="148"/>
      <c r="AJ112" s="148"/>
      <c r="AK112" s="148"/>
      <c r="AL112" s="148">
        <v>12101</v>
      </c>
      <c r="AM112" s="148"/>
      <c r="AN112" s="148">
        <v>6632.02</v>
      </c>
      <c r="AO112" s="148"/>
      <c r="AP112" s="148">
        <v>1630.5</v>
      </c>
      <c r="AQ112" s="148"/>
      <c r="AR112" s="148">
        <f t="shared" ref="AR112:AR121" si="94">ROUND(I112+Q112+Y112,5)</f>
        <v>3025.22</v>
      </c>
      <c r="AS112" s="148">
        <f t="shared" ref="AS112:AS121" si="95">AP112*2</f>
        <v>3261</v>
      </c>
      <c r="AT112" s="148"/>
      <c r="AU112" s="163"/>
      <c r="AV112" s="93">
        <v>2500</v>
      </c>
      <c r="AW112" s="94"/>
      <c r="AX112" s="95">
        <f t="shared" si="87"/>
        <v>-5468.98</v>
      </c>
      <c r="AY112" s="96"/>
      <c r="AZ112" s="97">
        <v>10087.459999999999</v>
      </c>
      <c r="BA112" s="93"/>
      <c r="BB112" s="93"/>
      <c r="BC112" s="99"/>
      <c r="BD112" s="93">
        <v>20036.990000000002</v>
      </c>
      <c r="BE112" s="93"/>
      <c r="BF112" s="93"/>
      <c r="BG112" s="93">
        <v>2500</v>
      </c>
      <c r="BH112" s="93"/>
      <c r="BI112" s="100">
        <v>14836.18</v>
      </c>
      <c r="BJ112" s="93"/>
      <c r="BK112" s="93">
        <v>15000</v>
      </c>
      <c r="BL112" s="93"/>
      <c r="BM112" s="101">
        <f t="shared" si="88"/>
        <v>12500</v>
      </c>
      <c r="BN112" s="101"/>
      <c r="BO112" s="93">
        <v>10256.31</v>
      </c>
      <c r="BP112" s="93"/>
      <c r="BQ112" s="102">
        <v>14916.13</v>
      </c>
      <c r="BR112" s="102"/>
      <c r="BS112" s="102">
        <f t="shared" si="51"/>
        <v>-83.8700000000008</v>
      </c>
      <c r="BT112" s="101"/>
      <c r="BU112" s="93">
        <v>10000</v>
      </c>
      <c r="BV112" s="101"/>
      <c r="BW112" s="179">
        <f t="shared" si="65"/>
        <v>-5000</v>
      </c>
      <c r="BX112" s="180"/>
      <c r="BY112" s="181" t="s">
        <v>283</v>
      </c>
      <c r="BZ112" s="102">
        <v>11393.15</v>
      </c>
      <c r="CA112" s="102"/>
      <c r="CB112" s="93">
        <v>10000</v>
      </c>
      <c r="CC112" s="93"/>
      <c r="CD112" s="93">
        <v>9688.2199999999993</v>
      </c>
      <c r="CE112" s="93"/>
      <c r="CF112" s="93">
        <v>10000</v>
      </c>
      <c r="CG112" s="99"/>
      <c r="CH112" s="103">
        <f t="shared" si="86"/>
        <v>0</v>
      </c>
      <c r="CI112" s="129"/>
      <c r="CJ112" s="304" t="s">
        <v>204</v>
      </c>
    </row>
    <row r="113" spans="1:88" ht="13.5" customHeight="1" x14ac:dyDescent="0.2">
      <c r="A113" s="4"/>
      <c r="B113" s="27"/>
      <c r="C113" s="28"/>
      <c r="D113" s="28" t="s">
        <v>222</v>
      </c>
      <c r="E113" s="29"/>
      <c r="F113" s="182"/>
      <c r="G113" s="183">
        <f>ROUND(SUM(G107:G112),5)</f>
        <v>1753.63</v>
      </c>
      <c r="H113" s="184"/>
      <c r="I113" s="183">
        <f>ROUND(SUM(I107:I112),5)</f>
        <v>6834.26</v>
      </c>
      <c r="J113" s="184"/>
      <c r="K113" s="183">
        <f t="shared" si="89"/>
        <v>-5080.63</v>
      </c>
      <c r="L113" s="184"/>
      <c r="M113" s="185">
        <f t="shared" si="90"/>
        <v>0.25658999999999998</v>
      </c>
      <c r="N113" s="184"/>
      <c r="O113" s="183">
        <f>ROUND(SUM(O107:O112),5)</f>
        <v>7363.98</v>
      </c>
      <c r="P113" s="184"/>
      <c r="Q113" s="183">
        <f>ROUND(SUM(Q107:Q112),5)</f>
        <v>6834.3</v>
      </c>
      <c r="R113" s="184"/>
      <c r="S113" s="183">
        <f t="shared" si="91"/>
        <v>529.67999999999995</v>
      </c>
      <c r="T113" s="184"/>
      <c r="U113" s="185">
        <f t="shared" si="92"/>
        <v>1.0774999999999999</v>
      </c>
      <c r="V113" s="184"/>
      <c r="W113" s="78">
        <f>ROUND(SUM(W107:W112),5)</f>
        <v>1661.66</v>
      </c>
      <c r="X113" s="78"/>
      <c r="Y113" s="78">
        <f>ROUND(SUM(Y107:Y112),5)</f>
        <v>6834.28</v>
      </c>
      <c r="Z113" s="78"/>
      <c r="AA113" s="78">
        <f t="shared" si="93"/>
        <v>-5172.62</v>
      </c>
      <c r="AB113" s="78"/>
      <c r="AC113" s="78"/>
      <c r="AD113" s="79">
        <f>SUM(AD112:AD112)</f>
        <v>0</v>
      </c>
      <c r="AE113" s="79"/>
      <c r="AF113" s="79"/>
      <c r="AG113" s="79"/>
      <c r="AH113" s="41">
        <f>SUM(AH112:AH112)</f>
        <v>0</v>
      </c>
      <c r="AI113" s="41"/>
      <c r="AJ113" s="41"/>
      <c r="AK113" s="41"/>
      <c r="AL113" s="41">
        <f>SUM(AL112:AL112)</f>
        <v>12101</v>
      </c>
      <c r="AM113" s="41"/>
      <c r="AN113" s="41">
        <f>SUM(AN112:AN112)</f>
        <v>6632.02</v>
      </c>
      <c r="AO113" s="41"/>
      <c r="AP113" s="41">
        <f>SUM(AP112:AP112)</f>
        <v>1630.5</v>
      </c>
      <c r="AQ113" s="41"/>
      <c r="AR113" s="41">
        <f t="shared" si="94"/>
        <v>20502.84</v>
      </c>
      <c r="AS113" s="41">
        <f t="shared" si="95"/>
        <v>3261</v>
      </c>
      <c r="AT113" s="41"/>
      <c r="AU113" s="42"/>
      <c r="AV113" s="79">
        <f>SUM(AV108:AV112)</f>
        <v>25600</v>
      </c>
      <c r="AW113" s="186"/>
      <c r="AX113" s="88">
        <f t="shared" si="87"/>
        <v>-5468.98</v>
      </c>
      <c r="AY113" s="88"/>
      <c r="AZ113" s="89">
        <v>39407.629999999997</v>
      </c>
      <c r="BA113" s="82"/>
      <c r="BB113" s="82"/>
      <c r="BC113" s="82"/>
      <c r="BD113" s="79">
        <f>SUM(BD108:BD112)</f>
        <v>83817.61</v>
      </c>
      <c r="BE113" s="79"/>
      <c r="BF113" s="79"/>
      <c r="BG113" s="79">
        <f>SUM(BG108:BG112)</f>
        <v>25600</v>
      </c>
      <c r="BH113" s="79"/>
      <c r="BI113" s="79">
        <f>SUM(BI108:BI112)</f>
        <v>64742.749999999993</v>
      </c>
      <c r="BJ113" s="79"/>
      <c r="BK113" s="79">
        <f>SUM(BK108:BK112)</f>
        <v>52000</v>
      </c>
      <c r="BL113" s="79"/>
      <c r="BM113" s="84">
        <f>BK113-BG113</f>
        <v>26400</v>
      </c>
      <c r="BN113" s="84"/>
      <c r="BO113" s="79">
        <f>SUM(BO108:BO112)</f>
        <v>32543.18</v>
      </c>
      <c r="BP113" s="79"/>
      <c r="BQ113" s="85">
        <f>SUM(BQ108:BQ112)</f>
        <v>52005.029999999992</v>
      </c>
      <c r="BR113" s="85"/>
      <c r="BS113" s="85">
        <f t="shared" si="51"/>
        <v>5.0299999999915599</v>
      </c>
      <c r="BT113" s="84"/>
      <c r="BU113" s="79">
        <f>SUM(BU108:BU112)</f>
        <v>41500</v>
      </c>
      <c r="BV113" s="84"/>
      <c r="BW113" s="84">
        <f t="shared" si="65"/>
        <v>-10500</v>
      </c>
      <c r="BX113" s="84"/>
      <c r="BY113" s="86"/>
      <c r="BZ113" s="79">
        <f>SUM(BZ108:BZ112)</f>
        <v>33938.67</v>
      </c>
      <c r="CA113" s="79"/>
      <c r="CB113" s="79">
        <f>SUM(CB108:CB112)</f>
        <v>41500</v>
      </c>
      <c r="CC113" s="79"/>
      <c r="CD113" s="79">
        <f>SUM(CD108:CD112)</f>
        <v>28561.339999999997</v>
      </c>
      <c r="CE113" s="79"/>
      <c r="CF113" s="79">
        <f>SUM(CF108:CF112)</f>
        <v>41500</v>
      </c>
      <c r="CG113" s="83"/>
      <c r="CH113" s="112">
        <f t="shared" si="86"/>
        <v>0</v>
      </c>
      <c r="CI113" s="199"/>
      <c r="CJ113" s="299"/>
    </row>
    <row r="114" spans="1:88" ht="13.5" customHeight="1" x14ac:dyDescent="0.2">
      <c r="A114" s="4"/>
      <c r="B114" s="27"/>
      <c r="C114" s="28"/>
      <c r="D114" s="28" t="s">
        <v>184</v>
      </c>
      <c r="E114" s="29"/>
      <c r="F114" s="28"/>
      <c r="G114" s="30"/>
      <c r="H114" s="31"/>
      <c r="I114" s="30"/>
      <c r="J114" s="31"/>
      <c r="K114" s="30"/>
      <c r="L114" s="31"/>
      <c r="M114" s="32"/>
      <c r="N114" s="31"/>
      <c r="O114" s="30"/>
      <c r="P114" s="31"/>
      <c r="Q114" s="30"/>
      <c r="R114" s="31"/>
      <c r="S114" s="30"/>
      <c r="T114" s="31"/>
      <c r="U114" s="32"/>
      <c r="V114" s="31"/>
      <c r="W114" s="33"/>
      <c r="X114" s="33"/>
      <c r="Y114" s="33"/>
      <c r="Z114" s="33"/>
      <c r="AA114" s="33"/>
      <c r="AB114" s="33"/>
      <c r="AC114" s="33"/>
      <c r="AD114" s="34"/>
      <c r="AE114" s="34"/>
      <c r="AF114" s="39"/>
      <c r="AG114" s="40"/>
      <c r="AH114" s="41"/>
      <c r="AI114" s="41"/>
      <c r="AJ114" s="41"/>
      <c r="AK114" s="41"/>
      <c r="AL114" s="41"/>
      <c r="AM114" s="41"/>
      <c r="AN114" s="41"/>
      <c r="AO114" s="41"/>
      <c r="AP114" s="41"/>
      <c r="AQ114" s="41"/>
      <c r="AR114" s="41"/>
      <c r="AS114" s="41"/>
      <c r="AT114" s="41"/>
      <c r="AU114" s="42"/>
      <c r="AV114" s="79"/>
      <c r="AW114" s="80"/>
      <c r="AX114" s="81">
        <f t="shared" ref="AX114" si="96">AN114-AL114</f>
        <v>0</v>
      </c>
      <c r="AY114" s="88"/>
      <c r="AZ114" s="114"/>
      <c r="BA114" s="79"/>
      <c r="BB114" s="79"/>
      <c r="BC114" s="83"/>
      <c r="BD114" s="54"/>
      <c r="BE114" s="54"/>
      <c r="BF114" s="54"/>
      <c r="BG114" s="54"/>
      <c r="BH114" s="54"/>
      <c r="BI114" s="54"/>
      <c r="BJ114" s="54"/>
      <c r="BK114" s="54"/>
      <c r="BL114" s="54"/>
      <c r="BM114" s="58"/>
      <c r="BN114" s="58"/>
      <c r="BO114" s="54"/>
      <c r="BP114" s="54"/>
      <c r="BQ114" s="66"/>
      <c r="BR114" s="66"/>
      <c r="BS114" s="66"/>
      <c r="BT114" s="58"/>
      <c r="BU114" s="54"/>
      <c r="BV114" s="58"/>
      <c r="BW114" s="58"/>
      <c r="BX114" s="58"/>
      <c r="BY114" s="91"/>
      <c r="BZ114" s="66"/>
      <c r="CA114" s="66"/>
      <c r="CB114" s="54"/>
      <c r="CC114" s="54"/>
      <c r="CD114" s="54"/>
      <c r="CE114" s="54"/>
      <c r="CF114" s="54"/>
      <c r="CG114" s="60"/>
      <c r="CH114" s="61">
        <f t="shared" si="86"/>
        <v>0</v>
      </c>
      <c r="CI114" s="200"/>
      <c r="CJ114" s="309"/>
    </row>
    <row r="115" spans="1:88" ht="13.5" customHeight="1" thickBot="1" x14ac:dyDescent="0.25">
      <c r="A115" s="4"/>
      <c r="B115" s="27"/>
      <c r="C115" s="28"/>
      <c r="D115" s="28"/>
      <c r="E115" s="363" t="s">
        <v>78</v>
      </c>
      <c r="F115" s="363"/>
      <c r="G115" s="68">
        <v>192.5</v>
      </c>
      <c r="H115" s="31"/>
      <c r="I115" s="68">
        <v>1309.47</v>
      </c>
      <c r="J115" s="31"/>
      <c r="K115" s="68">
        <f>ROUND((G115-I115),5)</f>
        <v>-1116.97</v>
      </c>
      <c r="L115" s="31"/>
      <c r="M115" s="69">
        <f>ROUND(IF(I115=0, IF(G115=0, 0, 1), G115/I115),5)</f>
        <v>0.14701</v>
      </c>
      <c r="N115" s="31"/>
      <c r="O115" s="68">
        <v>981.95</v>
      </c>
      <c r="P115" s="31"/>
      <c r="Q115" s="68">
        <v>1309.45</v>
      </c>
      <c r="R115" s="31"/>
      <c r="S115" s="68">
        <f>ROUND((O115-Q115),5)</f>
        <v>-327.5</v>
      </c>
      <c r="T115" s="31"/>
      <c r="U115" s="69">
        <f>ROUND(IF(Q115=0, IF(O115=0, 0, 1), O115/Q115),5)</f>
        <v>0.74988999999999995</v>
      </c>
      <c r="V115" s="31"/>
      <c r="W115" s="33">
        <v>167.65</v>
      </c>
      <c r="X115" s="33"/>
      <c r="Y115" s="33">
        <v>1309.45</v>
      </c>
      <c r="Z115" s="33"/>
      <c r="AA115" s="33">
        <f>ROUND((W115-Y115),5)</f>
        <v>-1141.8</v>
      </c>
      <c r="AB115" s="33"/>
      <c r="AC115" s="33"/>
      <c r="AD115" s="34"/>
      <c r="AE115" s="34"/>
      <c r="AF115" s="49"/>
      <c r="AG115" s="50"/>
      <c r="AH115" s="51"/>
      <c r="AI115" s="51"/>
      <c r="AJ115" s="51"/>
      <c r="AK115" s="51"/>
      <c r="AL115" s="51"/>
      <c r="AM115" s="51"/>
      <c r="AN115" s="51"/>
      <c r="AO115" s="51"/>
      <c r="AP115" s="51"/>
      <c r="AQ115" s="51"/>
      <c r="AR115" s="51"/>
      <c r="AS115" s="51"/>
      <c r="AT115" s="51"/>
      <c r="AU115" s="65"/>
      <c r="AV115" s="54"/>
      <c r="AW115" s="55"/>
      <c r="AX115" s="56"/>
      <c r="AY115" s="88"/>
      <c r="AZ115" s="89"/>
      <c r="BA115" s="54"/>
      <c r="BB115" s="54"/>
      <c r="BC115" s="60"/>
      <c r="BD115" s="54"/>
      <c r="BE115" s="54"/>
      <c r="BF115" s="54"/>
      <c r="BG115" s="54"/>
      <c r="BH115" s="54"/>
      <c r="BI115" s="57"/>
      <c r="BJ115" s="54"/>
      <c r="BK115" s="54">
        <v>4400</v>
      </c>
      <c r="BL115" s="54"/>
      <c r="BM115" s="58">
        <f>BK115-BI115</f>
        <v>4400</v>
      </c>
      <c r="BN115" s="58"/>
      <c r="BO115" s="54">
        <v>0</v>
      </c>
      <c r="BP115" s="54"/>
      <c r="BQ115" s="66">
        <v>610.23</v>
      </c>
      <c r="BR115" s="66"/>
      <c r="BS115" s="66">
        <f t="shared" si="51"/>
        <v>-3789.77</v>
      </c>
      <c r="BT115" s="58"/>
      <c r="BU115" s="54">
        <v>4400</v>
      </c>
      <c r="BV115" s="58"/>
      <c r="BW115" s="58">
        <f t="shared" si="65"/>
        <v>0</v>
      </c>
      <c r="BX115" s="165"/>
      <c r="BY115" s="352" t="s">
        <v>284</v>
      </c>
      <c r="BZ115" s="66">
        <v>3230</v>
      </c>
      <c r="CA115" s="66"/>
      <c r="CB115" s="54">
        <v>4400</v>
      </c>
      <c r="CC115" s="54"/>
      <c r="CD115" s="54">
        <v>1648.9</v>
      </c>
      <c r="CE115" s="54"/>
      <c r="CF115" s="54">
        <v>3000</v>
      </c>
      <c r="CG115" s="60"/>
      <c r="CH115" s="61">
        <f t="shared" si="86"/>
        <v>-1400</v>
      </c>
      <c r="CI115" s="200"/>
      <c r="CJ115" s="308" t="s">
        <v>237</v>
      </c>
    </row>
    <row r="116" spans="1:88" ht="15" customHeight="1" x14ac:dyDescent="0.2">
      <c r="A116" s="4"/>
      <c r="B116" s="27"/>
      <c r="C116" s="28"/>
      <c r="D116" s="28"/>
      <c r="E116" s="363" t="s">
        <v>185</v>
      </c>
      <c r="F116" s="363"/>
      <c r="G116" s="30">
        <v>0</v>
      </c>
      <c r="H116" s="31"/>
      <c r="I116" s="30">
        <v>29.14</v>
      </c>
      <c r="J116" s="31"/>
      <c r="K116" s="30">
        <f>ROUND((G116-I116),5)</f>
        <v>-29.14</v>
      </c>
      <c r="L116" s="31"/>
      <c r="M116" s="32">
        <f>ROUND(IF(I116=0, IF(G116=0, 0, 1), G116/I116),5)</f>
        <v>0</v>
      </c>
      <c r="N116" s="31"/>
      <c r="O116" s="30">
        <v>0</v>
      </c>
      <c r="P116" s="31"/>
      <c r="Q116" s="30">
        <v>29.2</v>
      </c>
      <c r="R116" s="31"/>
      <c r="S116" s="30">
        <f>ROUND((O116-Q116),5)</f>
        <v>-29.2</v>
      </c>
      <c r="T116" s="31"/>
      <c r="U116" s="32">
        <f>ROUND(IF(Q116=0, IF(O116=0, 0, 1), O116/Q116),5)</f>
        <v>0</v>
      </c>
      <c r="V116" s="31"/>
      <c r="W116" s="33">
        <v>0</v>
      </c>
      <c r="X116" s="33"/>
      <c r="Y116" s="33">
        <v>29.2</v>
      </c>
      <c r="Z116" s="33"/>
      <c r="AA116" s="33">
        <f>ROUND((W116-Y116),5)</f>
        <v>-29.2</v>
      </c>
      <c r="AB116" s="33"/>
      <c r="AC116" s="33"/>
      <c r="AD116" s="34"/>
      <c r="AE116" s="34"/>
      <c r="AF116" s="49"/>
      <c r="AG116" s="50"/>
      <c r="AH116" s="51"/>
      <c r="AI116" s="51"/>
      <c r="AJ116" s="51"/>
      <c r="AK116" s="51"/>
      <c r="AL116" s="51"/>
      <c r="AM116" s="51"/>
      <c r="AN116" s="51"/>
      <c r="AO116" s="51"/>
      <c r="AP116" s="51"/>
      <c r="AQ116" s="51"/>
      <c r="AR116" s="51"/>
      <c r="AS116" s="51"/>
      <c r="AT116" s="51"/>
      <c r="AU116" s="65"/>
      <c r="AV116" s="54"/>
      <c r="AW116" s="55"/>
      <c r="AX116" s="56"/>
      <c r="AY116" s="88"/>
      <c r="AZ116" s="89"/>
      <c r="BA116" s="54"/>
      <c r="BB116" s="54"/>
      <c r="BC116" s="60"/>
      <c r="BD116" s="54"/>
      <c r="BE116" s="54"/>
      <c r="BF116" s="54"/>
      <c r="BG116" s="54"/>
      <c r="BH116" s="54"/>
      <c r="BI116" s="57"/>
      <c r="BJ116" s="54"/>
      <c r="BK116" s="54">
        <v>3000</v>
      </c>
      <c r="BL116" s="54"/>
      <c r="BM116" s="58">
        <f t="shared" ref="BM116:BM118" si="97">BK116-BI116</f>
        <v>3000</v>
      </c>
      <c r="BN116" s="58"/>
      <c r="BO116" s="54">
        <v>0</v>
      </c>
      <c r="BP116" s="54"/>
      <c r="BQ116" s="66">
        <f t="shared" si="57"/>
        <v>0</v>
      </c>
      <c r="BR116" s="66"/>
      <c r="BS116" s="66">
        <f t="shared" si="51"/>
        <v>-3000</v>
      </c>
      <c r="BT116" s="58"/>
      <c r="BU116" s="54">
        <v>3000</v>
      </c>
      <c r="BV116" s="58"/>
      <c r="BW116" s="58">
        <f t="shared" si="65"/>
        <v>0</v>
      </c>
      <c r="BX116" s="187"/>
      <c r="BY116" s="362"/>
      <c r="BZ116" s="66">
        <f>BX116*2</f>
        <v>0</v>
      </c>
      <c r="CA116" s="66"/>
      <c r="CB116" s="54">
        <v>3000</v>
      </c>
      <c r="CC116" s="54"/>
      <c r="CD116" s="54">
        <v>11341.36</v>
      </c>
      <c r="CE116" s="54"/>
      <c r="CF116" s="54">
        <v>2000</v>
      </c>
      <c r="CG116" s="60"/>
      <c r="CH116" s="61">
        <f t="shared" si="86"/>
        <v>-1000</v>
      </c>
      <c r="CI116" s="200"/>
      <c r="CJ116" s="308" t="s">
        <v>237</v>
      </c>
    </row>
    <row r="117" spans="1:88" ht="15" customHeight="1" x14ac:dyDescent="0.2">
      <c r="A117" s="4"/>
      <c r="B117" s="27"/>
      <c r="C117" s="28"/>
      <c r="D117" s="28"/>
      <c r="E117" s="363" t="s">
        <v>186</v>
      </c>
      <c r="F117" s="363"/>
      <c r="G117" s="30">
        <v>0</v>
      </c>
      <c r="H117" s="31"/>
      <c r="I117" s="30">
        <v>2155.2800000000002</v>
      </c>
      <c r="J117" s="31"/>
      <c r="K117" s="30">
        <f>ROUND((G117-I117),5)</f>
        <v>-2155.2800000000002</v>
      </c>
      <c r="L117" s="31"/>
      <c r="M117" s="32">
        <f>ROUND(IF(I117=0, IF(G117=0, 0, 1), G117/I117),5)</f>
        <v>0</v>
      </c>
      <c r="N117" s="31"/>
      <c r="O117" s="30">
        <v>4086.14</v>
      </c>
      <c r="P117" s="31"/>
      <c r="Q117" s="30">
        <v>2155.2399999999998</v>
      </c>
      <c r="R117" s="31"/>
      <c r="S117" s="30">
        <f>ROUND((O117-Q117),5)</f>
        <v>1930.9</v>
      </c>
      <c r="T117" s="31"/>
      <c r="U117" s="32">
        <f>ROUND(IF(Q117=0, IF(O117=0, 0, 1), O117/Q117),5)</f>
        <v>1.89591</v>
      </c>
      <c r="V117" s="31"/>
      <c r="W117" s="33">
        <v>0</v>
      </c>
      <c r="X117" s="33"/>
      <c r="Y117" s="33">
        <v>2155.2399999999998</v>
      </c>
      <c r="Z117" s="33"/>
      <c r="AA117" s="33">
        <f>ROUND((W117-Y117),5)</f>
        <v>-2155.2399999999998</v>
      </c>
      <c r="AB117" s="33"/>
      <c r="AC117" s="33"/>
      <c r="AD117" s="34"/>
      <c r="AE117" s="34"/>
      <c r="AF117" s="49"/>
      <c r="AG117" s="50"/>
      <c r="AH117" s="51"/>
      <c r="AI117" s="51"/>
      <c r="AJ117" s="51"/>
      <c r="AK117" s="51"/>
      <c r="AL117" s="51"/>
      <c r="AM117" s="51"/>
      <c r="AN117" s="51"/>
      <c r="AO117" s="51"/>
      <c r="AP117" s="51"/>
      <c r="AQ117" s="51"/>
      <c r="AR117" s="51"/>
      <c r="AS117" s="51"/>
      <c r="AT117" s="51"/>
      <c r="AU117" s="65"/>
      <c r="AV117" s="54"/>
      <c r="AW117" s="55"/>
      <c r="AX117" s="56"/>
      <c r="AY117" s="88"/>
      <c r="AZ117" s="89"/>
      <c r="BA117" s="54"/>
      <c r="BB117" s="54"/>
      <c r="BC117" s="60"/>
      <c r="BD117" s="54"/>
      <c r="BE117" s="54"/>
      <c r="BF117" s="54"/>
      <c r="BG117" s="54"/>
      <c r="BH117" s="54"/>
      <c r="BI117" s="57"/>
      <c r="BJ117" s="54"/>
      <c r="BK117" s="54">
        <v>2500</v>
      </c>
      <c r="BL117" s="54"/>
      <c r="BM117" s="58">
        <f t="shared" si="97"/>
        <v>2500</v>
      </c>
      <c r="BN117" s="58"/>
      <c r="BO117" s="54">
        <v>0</v>
      </c>
      <c r="BP117" s="54"/>
      <c r="BQ117" s="66">
        <f t="shared" si="57"/>
        <v>0</v>
      </c>
      <c r="BR117" s="66"/>
      <c r="BS117" s="66">
        <f t="shared" si="51"/>
        <v>-2500</v>
      </c>
      <c r="BT117" s="58"/>
      <c r="BU117" s="54">
        <v>2500</v>
      </c>
      <c r="BV117" s="58"/>
      <c r="BW117" s="58">
        <f t="shared" si="65"/>
        <v>0</v>
      </c>
      <c r="BX117" s="187"/>
      <c r="BY117" s="362"/>
      <c r="BZ117" s="66">
        <f>BX117*2</f>
        <v>0</v>
      </c>
      <c r="CA117" s="66"/>
      <c r="CB117" s="54">
        <v>2500</v>
      </c>
      <c r="CC117" s="54"/>
      <c r="CD117" s="54">
        <v>0</v>
      </c>
      <c r="CE117" s="54"/>
      <c r="CF117" s="54">
        <v>2000</v>
      </c>
      <c r="CG117" s="60"/>
      <c r="CH117" s="61">
        <f t="shared" si="86"/>
        <v>-500</v>
      </c>
      <c r="CI117" s="200"/>
      <c r="CJ117" s="308" t="s">
        <v>237</v>
      </c>
    </row>
    <row r="118" spans="1:88" ht="15" customHeight="1" thickBot="1" x14ac:dyDescent="0.25">
      <c r="A118" s="4"/>
      <c r="B118" s="27"/>
      <c r="C118" s="28"/>
      <c r="D118" s="28"/>
      <c r="E118" s="363" t="s">
        <v>187</v>
      </c>
      <c r="F118" s="363"/>
      <c r="G118" s="30">
        <v>1561.13</v>
      </c>
      <c r="H118" s="31"/>
      <c r="I118" s="30">
        <v>2331.9899999999998</v>
      </c>
      <c r="J118" s="31"/>
      <c r="K118" s="30">
        <f>ROUND((G118-I118),5)</f>
        <v>-770.86</v>
      </c>
      <c r="L118" s="31"/>
      <c r="M118" s="32">
        <f>ROUND(IF(I118=0, IF(G118=0, 0, 1), G118/I118),5)</f>
        <v>0.66944000000000004</v>
      </c>
      <c r="N118" s="31"/>
      <c r="O118" s="30">
        <v>1950.89</v>
      </c>
      <c r="P118" s="31"/>
      <c r="Q118" s="30">
        <v>2331.9899999999998</v>
      </c>
      <c r="R118" s="31"/>
      <c r="S118" s="30">
        <f>ROUND((O118-Q118),5)</f>
        <v>-381.1</v>
      </c>
      <c r="T118" s="31"/>
      <c r="U118" s="32">
        <f>ROUND(IF(Q118=0, IF(O118=0, 0, 1), O118/Q118),5)</f>
        <v>0.83657999999999999</v>
      </c>
      <c r="V118" s="31"/>
      <c r="W118" s="33">
        <v>1444.01</v>
      </c>
      <c r="X118" s="33"/>
      <c r="Y118" s="33">
        <v>2331.9699999999998</v>
      </c>
      <c r="Z118" s="33"/>
      <c r="AA118" s="33">
        <f>ROUND((W118-Y118),5)</f>
        <v>-887.96</v>
      </c>
      <c r="AB118" s="33"/>
      <c r="AC118" s="33"/>
      <c r="AD118" s="34"/>
      <c r="AE118" s="34"/>
      <c r="AF118" s="49"/>
      <c r="AG118" s="50"/>
      <c r="AH118" s="51"/>
      <c r="AI118" s="51"/>
      <c r="AJ118" s="51"/>
      <c r="AK118" s="51"/>
      <c r="AL118" s="51"/>
      <c r="AM118" s="51"/>
      <c r="AN118" s="51"/>
      <c r="AO118" s="51"/>
      <c r="AP118" s="51"/>
      <c r="AQ118" s="51"/>
      <c r="AR118" s="51"/>
      <c r="AS118" s="51"/>
      <c r="AT118" s="51"/>
      <c r="AU118" s="65"/>
      <c r="AV118" s="93"/>
      <c r="AW118" s="94"/>
      <c r="AX118" s="95"/>
      <c r="AY118" s="96"/>
      <c r="AZ118" s="97"/>
      <c r="BA118" s="93"/>
      <c r="BB118" s="93"/>
      <c r="BC118" s="99"/>
      <c r="BD118" s="93"/>
      <c r="BE118" s="93"/>
      <c r="BF118" s="93"/>
      <c r="BG118" s="93"/>
      <c r="BH118" s="93"/>
      <c r="BI118" s="100"/>
      <c r="BJ118" s="93"/>
      <c r="BK118" s="93">
        <v>3500</v>
      </c>
      <c r="BL118" s="93"/>
      <c r="BM118" s="101">
        <f t="shared" si="97"/>
        <v>3500</v>
      </c>
      <c r="BN118" s="101"/>
      <c r="BO118" s="93">
        <v>0</v>
      </c>
      <c r="BP118" s="93"/>
      <c r="BQ118" s="102">
        <f t="shared" si="57"/>
        <v>0</v>
      </c>
      <c r="BR118" s="102"/>
      <c r="BS118" s="102">
        <f t="shared" si="51"/>
        <v>-3500</v>
      </c>
      <c r="BT118" s="101"/>
      <c r="BU118" s="93">
        <v>3500</v>
      </c>
      <c r="BV118" s="101"/>
      <c r="BW118" s="101">
        <f t="shared" si="65"/>
        <v>0</v>
      </c>
      <c r="BX118" s="84"/>
      <c r="BY118" s="353"/>
      <c r="BZ118" s="102">
        <f>BX118*2</f>
        <v>0</v>
      </c>
      <c r="CA118" s="102"/>
      <c r="CB118" s="93">
        <v>3500</v>
      </c>
      <c r="CC118" s="93"/>
      <c r="CD118" s="93">
        <v>18631.84</v>
      </c>
      <c r="CE118" s="93"/>
      <c r="CF118" s="93">
        <v>3500</v>
      </c>
      <c r="CG118" s="99"/>
      <c r="CH118" s="103">
        <f t="shared" si="86"/>
        <v>0</v>
      </c>
      <c r="CI118" s="129"/>
      <c r="CJ118" s="304" t="s">
        <v>204</v>
      </c>
    </row>
    <row r="119" spans="1:88" ht="15" customHeight="1" thickBot="1" x14ac:dyDescent="0.25">
      <c r="A119" s="4"/>
      <c r="B119" s="27"/>
      <c r="C119" s="28"/>
      <c r="D119" s="28" t="s">
        <v>188</v>
      </c>
      <c r="E119" s="29"/>
      <c r="F119" s="28"/>
      <c r="G119" s="30">
        <f>ROUND(SUM(G113:G118),5)</f>
        <v>3507.26</v>
      </c>
      <c r="H119" s="31"/>
      <c r="I119" s="30">
        <f>ROUND(SUM(I113:I118),5)</f>
        <v>12660.14</v>
      </c>
      <c r="J119" s="31"/>
      <c r="K119" s="30">
        <f t="shared" ref="K119" si="98">ROUND((G119-I119),5)</f>
        <v>-9152.8799999999992</v>
      </c>
      <c r="L119" s="31"/>
      <c r="M119" s="32">
        <f t="shared" ref="M119" si="99">ROUND(IF(I119=0, IF(G119=0, 0, 1), G119/I119),5)</f>
        <v>0.27703</v>
      </c>
      <c r="N119" s="31"/>
      <c r="O119" s="30">
        <f>ROUND(SUM(O113:O118),5)</f>
        <v>14382.96</v>
      </c>
      <c r="P119" s="31"/>
      <c r="Q119" s="30">
        <f>ROUND(SUM(Q113:Q118),5)</f>
        <v>12660.18</v>
      </c>
      <c r="R119" s="31"/>
      <c r="S119" s="30">
        <f t="shared" ref="S119" si="100">ROUND((O119-Q119),5)</f>
        <v>1722.78</v>
      </c>
      <c r="T119" s="31"/>
      <c r="U119" s="32">
        <f t="shared" ref="U119" si="101">ROUND(IF(Q119=0, IF(O119=0, 0, 1), O119/Q119),5)</f>
        <v>1.13608</v>
      </c>
      <c r="V119" s="31"/>
      <c r="W119" s="76">
        <f>ROUND(SUM(W113:W118),5)</f>
        <v>3273.32</v>
      </c>
      <c r="X119" s="76"/>
      <c r="Y119" s="76">
        <f>ROUND(SUM(Y113:Y118),5)</f>
        <v>12660.14</v>
      </c>
      <c r="Z119" s="76"/>
      <c r="AA119" s="76">
        <f t="shared" ref="AA119" si="102">ROUND((W119-Y119),5)</f>
        <v>-9386.82</v>
      </c>
      <c r="AB119" s="76"/>
      <c r="AC119" s="76"/>
      <c r="AD119" s="174">
        <f>SUM(AD118:AD118)</f>
        <v>0</v>
      </c>
      <c r="AE119" s="174"/>
      <c r="AF119" s="188"/>
      <c r="AG119" s="167"/>
      <c r="AH119" s="189">
        <f>SUM(AH118:AH118)</f>
        <v>0</v>
      </c>
      <c r="AI119" s="189"/>
      <c r="AJ119" s="189"/>
      <c r="AK119" s="189"/>
      <c r="AL119" s="189">
        <f>SUM(AL115:AL118)</f>
        <v>0</v>
      </c>
      <c r="AM119" s="189"/>
      <c r="AN119" s="189">
        <f t="shared" ref="AN119:BM119" si="103">SUM(AN115:AN118)</f>
        <v>0</v>
      </c>
      <c r="AO119" s="189">
        <f t="shared" si="103"/>
        <v>0</v>
      </c>
      <c r="AP119" s="189">
        <f t="shared" si="103"/>
        <v>0</v>
      </c>
      <c r="AQ119" s="189">
        <f t="shared" si="103"/>
        <v>0</v>
      </c>
      <c r="AR119" s="189">
        <f t="shared" si="103"/>
        <v>0</v>
      </c>
      <c r="AS119" s="189">
        <f t="shared" si="103"/>
        <v>0</v>
      </c>
      <c r="AT119" s="189">
        <f t="shared" si="103"/>
        <v>0</v>
      </c>
      <c r="AU119" s="189">
        <f t="shared" si="103"/>
        <v>0</v>
      </c>
      <c r="AV119" s="167">
        <f t="shared" si="103"/>
        <v>0</v>
      </c>
      <c r="AW119" s="167">
        <f t="shared" si="103"/>
        <v>0</v>
      </c>
      <c r="AX119" s="167">
        <f t="shared" si="103"/>
        <v>0</v>
      </c>
      <c r="AY119" s="167">
        <f t="shared" si="103"/>
        <v>0</v>
      </c>
      <c r="AZ119" s="167">
        <f t="shared" si="103"/>
        <v>0</v>
      </c>
      <c r="BA119" s="167">
        <f t="shared" si="103"/>
        <v>0</v>
      </c>
      <c r="BB119" s="167">
        <f t="shared" si="103"/>
        <v>0</v>
      </c>
      <c r="BC119" s="190">
        <f t="shared" si="103"/>
        <v>0</v>
      </c>
      <c r="BD119" s="167">
        <f t="shared" si="103"/>
        <v>0</v>
      </c>
      <c r="BE119" s="167">
        <f t="shared" si="103"/>
        <v>0</v>
      </c>
      <c r="BF119" s="167">
        <f t="shared" si="103"/>
        <v>0</v>
      </c>
      <c r="BG119" s="167">
        <f t="shared" si="103"/>
        <v>0</v>
      </c>
      <c r="BH119" s="167">
        <f t="shared" si="103"/>
        <v>0</v>
      </c>
      <c r="BI119" s="167"/>
      <c r="BJ119" s="167">
        <f t="shared" si="103"/>
        <v>0</v>
      </c>
      <c r="BK119" s="167">
        <f t="shared" si="103"/>
        <v>13400</v>
      </c>
      <c r="BL119" s="167">
        <f t="shared" si="103"/>
        <v>0</v>
      </c>
      <c r="BM119" s="191">
        <f t="shared" si="103"/>
        <v>13400</v>
      </c>
      <c r="BN119" s="191"/>
      <c r="BO119" s="167"/>
      <c r="BP119" s="167"/>
      <c r="BQ119" s="192">
        <f>SUM(BQ115:BQ118)</f>
        <v>610.23</v>
      </c>
      <c r="BR119" s="192"/>
      <c r="BS119" s="192">
        <f t="shared" si="51"/>
        <v>-12789.77</v>
      </c>
      <c r="BT119" s="191"/>
      <c r="BU119" s="167">
        <f t="shared" ref="BU119" si="104">SUM(BU115:BU118)</f>
        <v>13400</v>
      </c>
      <c r="BV119" s="191"/>
      <c r="BW119" s="191">
        <f t="shared" si="65"/>
        <v>0</v>
      </c>
      <c r="BX119" s="58"/>
      <c r="BY119" s="193"/>
      <c r="BZ119" s="192">
        <f>SUM(BZ115:BZ118)</f>
        <v>3230</v>
      </c>
      <c r="CA119" s="192"/>
      <c r="CB119" s="167">
        <f t="shared" ref="CB119:CD119" si="105">SUM(CB115:CB118)</f>
        <v>13400</v>
      </c>
      <c r="CC119" s="167"/>
      <c r="CD119" s="167">
        <f t="shared" si="105"/>
        <v>31622.1</v>
      </c>
      <c r="CE119" s="167"/>
      <c r="CF119" s="167">
        <f t="shared" ref="CF119" si="106">SUM(CF115:CF118)</f>
        <v>10500</v>
      </c>
      <c r="CG119" s="107"/>
      <c r="CH119" s="103">
        <f t="shared" si="86"/>
        <v>-2900</v>
      </c>
      <c r="CI119" s="96"/>
      <c r="CJ119" s="305"/>
    </row>
    <row r="120" spans="1:88" ht="11.25" customHeight="1" x14ac:dyDescent="0.2">
      <c r="A120" s="4"/>
      <c r="B120" s="27"/>
      <c r="C120" s="28" t="s">
        <v>216</v>
      </c>
      <c r="D120" s="28"/>
      <c r="E120" s="29"/>
      <c r="F120" s="28"/>
      <c r="G120" s="30" t="e">
        <f>ROUND(#REF!+G113+G99+G106,5)</f>
        <v>#REF!</v>
      </c>
      <c r="H120" s="31"/>
      <c r="I120" s="30" t="e">
        <f>ROUND(#REF!+I113+I99+I106,5)</f>
        <v>#REF!</v>
      </c>
      <c r="J120" s="31"/>
      <c r="K120" s="30" t="e">
        <f t="shared" si="89"/>
        <v>#REF!</v>
      </c>
      <c r="L120" s="31"/>
      <c r="M120" s="32" t="e">
        <f t="shared" si="90"/>
        <v>#REF!</v>
      </c>
      <c r="N120" s="31"/>
      <c r="O120" s="30" t="e">
        <f>ROUND(#REF!+O113+O99+O106,5)</f>
        <v>#REF!</v>
      </c>
      <c r="P120" s="31"/>
      <c r="Q120" s="30" t="e">
        <f>ROUND(#REF!+Q113+Q99+Q106,5)</f>
        <v>#REF!</v>
      </c>
      <c r="R120" s="31"/>
      <c r="S120" s="30" t="e">
        <f t="shared" si="91"/>
        <v>#REF!</v>
      </c>
      <c r="T120" s="31"/>
      <c r="U120" s="32" t="e">
        <f t="shared" si="92"/>
        <v>#REF!</v>
      </c>
      <c r="V120" s="31"/>
      <c r="W120" s="33">
        <f>W113+W106+W99</f>
        <v>7982.4400000000005</v>
      </c>
      <c r="X120" s="33"/>
      <c r="Y120" s="33" t="e">
        <f>ROUND(#REF!+Y113+Y99+Y106,5)</f>
        <v>#REF!</v>
      </c>
      <c r="Z120" s="33"/>
      <c r="AA120" s="33" t="e">
        <f t="shared" si="93"/>
        <v>#REF!</v>
      </c>
      <c r="AB120" s="33"/>
      <c r="AC120" s="33"/>
      <c r="AD120" s="34">
        <v>100000</v>
      </c>
      <c r="AE120" s="34"/>
      <c r="AF120" s="39">
        <v>99382.16</v>
      </c>
      <c r="AG120" s="40"/>
      <c r="AH120" s="41">
        <f>AH113+AH106+AH99</f>
        <v>85000</v>
      </c>
      <c r="AI120" s="41"/>
      <c r="AJ120" s="41">
        <v>63908.49</v>
      </c>
      <c r="AK120" s="41"/>
      <c r="AL120" s="41">
        <f>AL113+AL106+AL99</f>
        <v>122101</v>
      </c>
      <c r="AM120" s="41"/>
      <c r="AN120" s="41">
        <f>AN113+AN106+AN99</f>
        <v>64571.14</v>
      </c>
      <c r="AO120" s="41"/>
      <c r="AP120" s="41">
        <f>AP113+AP106+AP99</f>
        <v>40126.960000000006</v>
      </c>
      <c r="AQ120" s="41"/>
      <c r="AR120" s="41" t="e">
        <f t="shared" si="94"/>
        <v>#REF!</v>
      </c>
      <c r="AS120" s="41">
        <f t="shared" si="95"/>
        <v>80253.920000000013</v>
      </c>
      <c r="AT120" s="41"/>
      <c r="AU120" s="42"/>
      <c r="AV120" s="79">
        <f>AV113+AV106+AV99</f>
        <v>119000</v>
      </c>
      <c r="AW120" s="80"/>
      <c r="AX120" s="81">
        <f t="shared" si="87"/>
        <v>-57529.86</v>
      </c>
      <c r="AY120" s="88"/>
      <c r="AZ120" s="89">
        <f>AZ113+AZ106+AZ99</f>
        <v>63734.509999999995</v>
      </c>
      <c r="BA120" s="79"/>
      <c r="BB120" s="79"/>
      <c r="BC120" s="83"/>
      <c r="BD120" s="79">
        <f>BD113+BD106+BD99</f>
        <v>147231.09</v>
      </c>
      <c r="BE120" s="79"/>
      <c r="BF120" s="79"/>
      <c r="BG120" s="79">
        <f>BG113+BG106+BG99</f>
        <v>94000</v>
      </c>
      <c r="BH120" s="79"/>
      <c r="BI120" s="79">
        <f>BI113+BI106+BI99</f>
        <v>100119.69</v>
      </c>
      <c r="BJ120" s="79"/>
      <c r="BK120" s="79">
        <f>BK113+BK106+BK99+BK119</f>
        <v>99400</v>
      </c>
      <c r="BL120" s="79"/>
      <c r="BM120" s="84">
        <f>BK120-BG120</f>
        <v>5400</v>
      </c>
      <c r="BN120" s="84"/>
      <c r="BO120" s="79">
        <f>BO113+BO106+BO99+BO119</f>
        <v>54379.73</v>
      </c>
      <c r="BP120" s="79"/>
      <c r="BQ120" s="85">
        <f>BQ119+BQ113+BQ106+BQ99</f>
        <v>97875.819999999992</v>
      </c>
      <c r="BR120" s="85"/>
      <c r="BS120" s="85">
        <f t="shared" si="51"/>
        <v>-1524.1800000000076</v>
      </c>
      <c r="BT120" s="84"/>
      <c r="BU120" s="79">
        <f>BU113+BU106+BU99+BU119</f>
        <v>93400</v>
      </c>
      <c r="BV120" s="84"/>
      <c r="BW120" s="84">
        <f t="shared" si="65"/>
        <v>-6000</v>
      </c>
      <c r="BX120" s="58"/>
      <c r="BY120" s="91"/>
      <c r="BZ120" s="79">
        <f>BZ113+BZ106+BZ99+BZ119</f>
        <v>77397.399999999994</v>
      </c>
      <c r="CA120" s="79"/>
      <c r="CB120" s="79">
        <f>CB113+CB106+CB99+CB119</f>
        <v>93400</v>
      </c>
      <c r="CC120" s="79"/>
      <c r="CD120" s="79">
        <f>CD113+CD106+CD99+CD119</f>
        <v>92071.87999999999</v>
      </c>
      <c r="CE120" s="79"/>
      <c r="CF120" s="79">
        <f>CF113+CF106+CF99+CF119</f>
        <v>85000</v>
      </c>
      <c r="CG120" s="83"/>
      <c r="CH120" s="112">
        <f t="shared" si="86"/>
        <v>-8400</v>
      </c>
      <c r="CI120" s="199"/>
      <c r="CJ120" s="299"/>
    </row>
    <row r="121" spans="1:88" ht="20.25" customHeight="1" thickBot="1" x14ac:dyDescent="0.25">
      <c r="A121" s="4"/>
      <c r="B121" s="27"/>
      <c r="C121" s="28" t="s">
        <v>89</v>
      </c>
      <c r="D121" s="28"/>
      <c r="E121" s="29"/>
      <c r="F121" s="28"/>
      <c r="G121" s="30">
        <v>4682.6499999999996</v>
      </c>
      <c r="H121" s="31"/>
      <c r="I121" s="30">
        <v>1250</v>
      </c>
      <c r="J121" s="31"/>
      <c r="K121" s="30">
        <f t="shared" si="89"/>
        <v>3432.65</v>
      </c>
      <c r="L121" s="31"/>
      <c r="M121" s="32">
        <f t="shared" si="90"/>
        <v>3.7461199999999999</v>
      </c>
      <c r="N121" s="31"/>
      <c r="O121" s="30">
        <v>129.30000000000001</v>
      </c>
      <c r="P121" s="31"/>
      <c r="Q121" s="30">
        <v>1250</v>
      </c>
      <c r="R121" s="31"/>
      <c r="S121" s="30">
        <f t="shared" si="91"/>
        <v>-1120.7</v>
      </c>
      <c r="T121" s="31"/>
      <c r="U121" s="32">
        <f t="shared" si="92"/>
        <v>0.10344</v>
      </c>
      <c r="V121" s="31"/>
      <c r="W121" s="33">
        <f>1159+149</f>
        <v>1308</v>
      </c>
      <c r="X121" s="33"/>
      <c r="Y121" s="33">
        <v>1250</v>
      </c>
      <c r="Z121" s="33"/>
      <c r="AA121" s="33">
        <f t="shared" si="93"/>
        <v>58</v>
      </c>
      <c r="AB121" s="33"/>
      <c r="AC121" s="33"/>
      <c r="AD121" s="34"/>
      <c r="AE121" s="34">
        <v>0</v>
      </c>
      <c r="AF121" s="71"/>
      <c r="AG121" s="72"/>
      <c r="AH121" s="73">
        <v>0</v>
      </c>
      <c r="AI121" s="73"/>
      <c r="AJ121" s="73">
        <v>7985.16</v>
      </c>
      <c r="AK121" s="73"/>
      <c r="AL121" s="73">
        <v>15000</v>
      </c>
      <c r="AM121" s="73"/>
      <c r="AN121" s="73">
        <v>17894.66</v>
      </c>
      <c r="AO121" s="73"/>
      <c r="AP121" s="73">
        <v>9877.34</v>
      </c>
      <c r="AQ121" s="73"/>
      <c r="AR121" s="73">
        <f t="shared" si="94"/>
        <v>3750</v>
      </c>
      <c r="AS121" s="73">
        <f t="shared" si="95"/>
        <v>19754.68</v>
      </c>
      <c r="AT121" s="73"/>
      <c r="AU121" s="116"/>
      <c r="AV121" s="93">
        <v>10000</v>
      </c>
      <c r="AW121" s="94"/>
      <c r="AX121" s="95">
        <f t="shared" si="87"/>
        <v>2894.66</v>
      </c>
      <c r="AY121" s="96"/>
      <c r="AZ121" s="97">
        <v>2634.07</v>
      </c>
      <c r="BA121" s="93"/>
      <c r="BB121" s="93"/>
      <c r="BC121" s="99"/>
      <c r="BD121" s="93">
        <v>8918.2000000000007</v>
      </c>
      <c r="BE121" s="93"/>
      <c r="BF121" s="93"/>
      <c r="BG121" s="93">
        <v>10000</v>
      </c>
      <c r="BH121" s="93"/>
      <c r="BI121" s="93">
        <v>23284.27</v>
      </c>
      <c r="BJ121" s="93"/>
      <c r="BK121" s="93">
        <v>5000</v>
      </c>
      <c r="BL121" s="93"/>
      <c r="BM121" s="101">
        <f>BK121-BG121</f>
        <v>-5000</v>
      </c>
      <c r="BN121" s="101"/>
      <c r="BO121" s="93">
        <v>2455.1799999999998</v>
      </c>
      <c r="BP121" s="93"/>
      <c r="BQ121" s="102">
        <v>2500.88</v>
      </c>
      <c r="BR121" s="102"/>
      <c r="BS121" s="102">
        <f t="shared" si="51"/>
        <v>-2499.12</v>
      </c>
      <c r="BT121" s="101"/>
      <c r="BU121" s="93">
        <v>12000</v>
      </c>
      <c r="BV121" s="101"/>
      <c r="BW121" s="101">
        <f t="shared" si="65"/>
        <v>7000</v>
      </c>
      <c r="BX121" s="101"/>
      <c r="BY121" s="90" t="s">
        <v>214</v>
      </c>
      <c r="BZ121" s="102">
        <v>9092.3799999999992</v>
      </c>
      <c r="CA121" s="102"/>
      <c r="CB121" s="93">
        <v>8100</v>
      </c>
      <c r="CC121" s="93"/>
      <c r="CD121" s="93">
        <v>1063.4000000000001</v>
      </c>
      <c r="CE121" s="93"/>
      <c r="CF121" s="93">
        <v>8100</v>
      </c>
      <c r="CG121" s="99"/>
      <c r="CH121" s="103">
        <f t="shared" si="86"/>
        <v>0</v>
      </c>
      <c r="CI121" s="129"/>
      <c r="CJ121" s="304" t="s">
        <v>204</v>
      </c>
    </row>
    <row r="122" spans="1:88" ht="13.5" customHeight="1" thickBot="1" x14ac:dyDescent="0.25">
      <c r="A122" s="4"/>
      <c r="B122" s="27" t="s">
        <v>161</v>
      </c>
      <c r="C122" s="28"/>
      <c r="D122" s="28"/>
      <c r="E122" s="29"/>
      <c r="F122" s="28"/>
      <c r="G122" s="30" t="e">
        <f>ROUND(G93+G135+G25+SUM(G120:G121),5)</f>
        <v>#REF!</v>
      </c>
      <c r="H122" s="31"/>
      <c r="I122" s="30" t="e">
        <f>ROUND(I93+I135+I25+SUM(I120:I121),5)</f>
        <v>#REF!</v>
      </c>
      <c r="J122" s="31"/>
      <c r="K122" s="30" t="e">
        <f t="shared" si="89"/>
        <v>#REF!</v>
      </c>
      <c r="L122" s="31"/>
      <c r="M122" s="32" t="e">
        <f t="shared" si="90"/>
        <v>#REF!</v>
      </c>
      <c r="N122" s="31"/>
      <c r="O122" s="30" t="e">
        <f>ROUND(O93+O135+O25+SUM(O120:O121),5)</f>
        <v>#REF!</v>
      </c>
      <c r="P122" s="31"/>
      <c r="Q122" s="30" t="e">
        <f>ROUND(Q93+Q135+Q25+SUM(Q120:Q121),5)</f>
        <v>#REF!</v>
      </c>
      <c r="R122" s="31"/>
      <c r="S122" s="30" t="e">
        <f t="shared" si="91"/>
        <v>#REF!</v>
      </c>
      <c r="T122" s="31"/>
      <c r="U122" s="32" t="e">
        <f t="shared" si="92"/>
        <v>#REF!</v>
      </c>
      <c r="V122" s="31"/>
      <c r="W122" s="76">
        <f>W121+W186+W185+W120+W25</f>
        <v>24523.89</v>
      </c>
      <c r="X122" s="76"/>
      <c r="Y122" s="76" t="e">
        <f>ROUND(Y93+Y135+Y25+SUM(Y120:Y121),5)</f>
        <v>#REF!</v>
      </c>
      <c r="Z122" s="76"/>
      <c r="AA122" s="76" t="e">
        <f t="shared" si="93"/>
        <v>#REF!</v>
      </c>
      <c r="AB122" s="76"/>
      <c r="AC122" s="76"/>
      <c r="AD122" s="194">
        <f>AD121+AD186+AD185+AD120+AD25+AD30</f>
        <v>216900</v>
      </c>
      <c r="AE122" s="194"/>
      <c r="AF122" s="195">
        <f>AF121+AF186+AF185+AF120+AF25</f>
        <v>211242.03999999998</v>
      </c>
      <c r="AG122" s="81"/>
      <c r="AH122" s="81">
        <f>AD121+AD120+AD25+AD30</f>
        <v>121900</v>
      </c>
      <c r="AI122" s="41"/>
      <c r="AJ122" s="41">
        <v>274711.74</v>
      </c>
      <c r="AK122" s="41"/>
      <c r="AL122" s="41">
        <f>+AL187+AL121+AL120</f>
        <v>137101</v>
      </c>
      <c r="AM122" s="41"/>
      <c r="AN122" s="41">
        <f t="shared" ref="AN122:BM122" si="107">+AN187+AN121+AN120</f>
        <v>82710.8</v>
      </c>
      <c r="AO122" s="41">
        <f t="shared" si="107"/>
        <v>0</v>
      </c>
      <c r="AP122" s="41">
        <f t="shared" si="107"/>
        <v>50004.3</v>
      </c>
      <c r="AQ122" s="41">
        <f t="shared" si="107"/>
        <v>0</v>
      </c>
      <c r="AR122" s="41" t="e">
        <f t="shared" si="107"/>
        <v>#REF!</v>
      </c>
      <c r="AS122" s="41">
        <f t="shared" si="107"/>
        <v>100008.6</v>
      </c>
      <c r="AT122" s="41">
        <f t="shared" si="107"/>
        <v>0</v>
      </c>
      <c r="AU122" s="41">
        <f t="shared" si="107"/>
        <v>0</v>
      </c>
      <c r="AV122" s="167">
        <f t="shared" si="107"/>
        <v>139000</v>
      </c>
      <c r="AW122" s="167">
        <f t="shared" si="107"/>
        <v>0</v>
      </c>
      <c r="AX122" s="167">
        <f t="shared" si="107"/>
        <v>-54635.199999999997</v>
      </c>
      <c r="AY122" s="167">
        <f t="shared" si="107"/>
        <v>0</v>
      </c>
      <c r="AZ122" s="167">
        <f t="shared" si="107"/>
        <v>74282.06</v>
      </c>
      <c r="BA122" s="167">
        <f t="shared" si="107"/>
        <v>0</v>
      </c>
      <c r="BB122" s="167">
        <f t="shared" si="107"/>
        <v>0</v>
      </c>
      <c r="BC122" s="190">
        <f t="shared" si="107"/>
        <v>0</v>
      </c>
      <c r="BD122" s="167">
        <f t="shared" si="107"/>
        <v>165717.87</v>
      </c>
      <c r="BE122" s="167">
        <f t="shared" si="107"/>
        <v>0</v>
      </c>
      <c r="BF122" s="167">
        <f t="shared" si="107"/>
        <v>0</v>
      </c>
      <c r="BG122" s="167">
        <f t="shared" si="107"/>
        <v>139000</v>
      </c>
      <c r="BH122" s="167">
        <f t="shared" si="107"/>
        <v>0</v>
      </c>
      <c r="BI122" s="167">
        <f t="shared" si="107"/>
        <v>133381.66999999998</v>
      </c>
      <c r="BJ122" s="167">
        <f t="shared" si="107"/>
        <v>0</v>
      </c>
      <c r="BK122" s="167">
        <f>+BK121+BK120</f>
        <v>104400</v>
      </c>
      <c r="BL122" s="167">
        <f t="shared" si="107"/>
        <v>0</v>
      </c>
      <c r="BM122" s="191">
        <f t="shared" si="107"/>
        <v>-21600</v>
      </c>
      <c r="BN122" s="191"/>
      <c r="BO122" s="167">
        <f>+BO187+BO121+BO120</f>
        <v>63157.16</v>
      </c>
      <c r="BP122" s="167"/>
      <c r="BQ122" s="192">
        <f>BQ121+BQ120</f>
        <v>100376.7</v>
      </c>
      <c r="BR122" s="192"/>
      <c r="BS122" s="192">
        <f>BS121+BS187+BS120</f>
        <v>-9991.0500000000065</v>
      </c>
      <c r="BT122" s="191"/>
      <c r="BU122" s="192">
        <f>BU121+BU120</f>
        <v>105400</v>
      </c>
      <c r="BV122" s="191"/>
      <c r="BW122" s="191">
        <f t="shared" si="65"/>
        <v>1000</v>
      </c>
      <c r="BX122" s="84"/>
      <c r="BY122" s="91"/>
      <c r="BZ122" s="192">
        <f>BZ121+BZ120</f>
        <v>86489.78</v>
      </c>
      <c r="CA122" s="192"/>
      <c r="CB122" s="196">
        <f>CB121+CB120</f>
        <v>101500</v>
      </c>
      <c r="CC122" s="196"/>
      <c r="CD122" s="196">
        <f>CD121+CD120</f>
        <v>93135.279999999984</v>
      </c>
      <c r="CE122" s="196"/>
      <c r="CF122" s="196">
        <f>CF121+CF120</f>
        <v>93100</v>
      </c>
      <c r="CG122" s="197"/>
      <c r="CH122" s="103">
        <f t="shared" si="86"/>
        <v>-8400</v>
      </c>
      <c r="CI122" s="96"/>
      <c r="CJ122" s="305"/>
    </row>
    <row r="123" spans="1:88" ht="16.5" customHeight="1" x14ac:dyDescent="0.2">
      <c r="A123" s="4"/>
      <c r="B123" s="27" t="s">
        <v>90</v>
      </c>
      <c r="C123" s="28"/>
      <c r="D123" s="28"/>
      <c r="E123" s="29"/>
      <c r="F123" s="28"/>
      <c r="G123" s="30"/>
      <c r="H123" s="31"/>
      <c r="I123" s="30"/>
      <c r="J123" s="31"/>
      <c r="K123" s="30"/>
      <c r="L123" s="31"/>
      <c r="M123" s="32"/>
      <c r="N123" s="31"/>
      <c r="O123" s="30"/>
      <c r="P123" s="31"/>
      <c r="Q123" s="30"/>
      <c r="R123" s="31"/>
      <c r="S123" s="30"/>
      <c r="T123" s="31"/>
      <c r="U123" s="32"/>
      <c r="V123" s="31"/>
      <c r="W123" s="33"/>
      <c r="X123" s="33"/>
      <c r="Y123" s="33"/>
      <c r="Z123" s="33"/>
      <c r="AA123" s="33"/>
      <c r="AB123" s="33"/>
      <c r="AC123" s="33"/>
      <c r="AD123" s="34"/>
      <c r="AE123" s="34"/>
      <c r="AF123" s="49"/>
      <c r="AG123" s="50"/>
      <c r="AH123" s="51"/>
      <c r="AI123" s="51"/>
      <c r="AJ123" s="51"/>
      <c r="AK123" s="51"/>
      <c r="AL123" s="51"/>
      <c r="AM123" s="51"/>
      <c r="AN123" s="51"/>
      <c r="AO123" s="51"/>
      <c r="AP123" s="51"/>
      <c r="AQ123" s="51"/>
      <c r="AR123" s="51"/>
      <c r="AS123" s="51"/>
      <c r="AT123" s="51"/>
      <c r="AU123" s="65"/>
      <c r="AV123" s="79"/>
      <c r="AW123" s="80"/>
      <c r="AX123" s="81">
        <f t="shared" si="87"/>
        <v>0</v>
      </c>
      <c r="AY123" s="88"/>
      <c r="AZ123" s="114"/>
      <c r="BA123" s="79"/>
      <c r="BB123" s="79"/>
      <c r="BC123" s="83"/>
      <c r="BD123" s="79"/>
      <c r="BE123" s="79"/>
      <c r="BF123" s="79"/>
      <c r="BG123" s="79"/>
      <c r="BH123" s="79"/>
      <c r="BI123" s="79"/>
      <c r="BJ123" s="79"/>
      <c r="BK123" s="79"/>
      <c r="BL123" s="79"/>
      <c r="BM123" s="84"/>
      <c r="BN123" s="84"/>
      <c r="BO123" s="79"/>
      <c r="BP123" s="79"/>
      <c r="BQ123" s="85"/>
      <c r="BR123" s="85"/>
      <c r="BS123" s="85"/>
      <c r="BT123" s="84"/>
      <c r="BU123" s="79"/>
      <c r="BV123" s="84"/>
      <c r="BW123" s="84">
        <f t="shared" si="65"/>
        <v>0</v>
      </c>
      <c r="BX123" s="58"/>
      <c r="BY123" s="91"/>
      <c r="BZ123" s="85"/>
      <c r="CA123" s="85"/>
      <c r="CB123" s="79"/>
      <c r="CC123" s="79"/>
      <c r="CD123" s="79"/>
      <c r="CE123" s="79"/>
      <c r="CF123" s="79"/>
      <c r="CG123" s="198"/>
      <c r="CH123" s="199"/>
      <c r="CI123" s="199"/>
      <c r="CJ123" s="299"/>
    </row>
    <row r="124" spans="1:88" ht="18" customHeight="1" x14ac:dyDescent="0.2">
      <c r="A124" s="4"/>
      <c r="B124" s="27"/>
      <c r="C124" s="28" t="s">
        <v>91</v>
      </c>
      <c r="D124" s="28"/>
      <c r="E124" s="29"/>
      <c r="F124" s="28"/>
      <c r="G124" s="30">
        <v>401.46</v>
      </c>
      <c r="H124" s="31"/>
      <c r="I124" s="30">
        <v>541.63</v>
      </c>
      <c r="J124" s="31"/>
      <c r="K124" s="30">
        <f t="shared" ref="K124:K130" si="108">ROUND((G124-I124),5)</f>
        <v>-140.16999999999999</v>
      </c>
      <c r="L124" s="31"/>
      <c r="M124" s="32">
        <f t="shared" ref="M124:M130" si="109">ROUND(IF(I124=0, IF(G124=0, 0, 1), G124/I124),5)</f>
        <v>0.74121000000000004</v>
      </c>
      <c r="N124" s="31"/>
      <c r="O124" s="30">
        <v>0</v>
      </c>
      <c r="P124" s="31"/>
      <c r="Q124" s="30">
        <v>541.66999999999996</v>
      </c>
      <c r="R124" s="31"/>
      <c r="S124" s="30">
        <f t="shared" ref="S124:S130" si="110">ROUND((O124-Q124),5)</f>
        <v>-541.66999999999996</v>
      </c>
      <c r="T124" s="31"/>
      <c r="U124" s="32">
        <f t="shared" ref="U124:U130" si="111">ROUND(IF(Q124=0, IF(O124=0, 0, 1), O124/Q124),5)</f>
        <v>0</v>
      </c>
      <c r="V124" s="31"/>
      <c r="W124" s="33">
        <v>750</v>
      </c>
      <c r="X124" s="33"/>
      <c r="Y124" s="33">
        <v>541.66999999999996</v>
      </c>
      <c r="Z124" s="33"/>
      <c r="AA124" s="33">
        <f t="shared" ref="AA124:AA130" si="112">ROUND((W124-Y124),5)</f>
        <v>208.33</v>
      </c>
      <c r="AB124" s="33"/>
      <c r="AC124" s="33"/>
      <c r="AD124" s="34">
        <v>4000</v>
      </c>
      <c r="AE124" s="34"/>
      <c r="AF124" s="49">
        <v>4576.6899999999996</v>
      </c>
      <c r="AG124" s="50"/>
      <c r="AH124" s="51">
        <v>4000</v>
      </c>
      <c r="AI124" s="51"/>
      <c r="AJ124" s="51">
        <v>4387.01</v>
      </c>
      <c r="AK124" s="51"/>
      <c r="AL124" s="51">
        <v>6500</v>
      </c>
      <c r="AM124" s="51"/>
      <c r="AN124" s="51">
        <v>7686.36</v>
      </c>
      <c r="AO124" s="51"/>
      <c r="AP124" s="51">
        <v>1959.19</v>
      </c>
      <c r="AQ124" s="51"/>
      <c r="AR124" s="51">
        <f t="shared" ref="AR124:AR130" si="113">ROUND(I124+Q124+Y124,5)</f>
        <v>1624.97</v>
      </c>
      <c r="AS124" s="51">
        <f t="shared" ref="AS124:AS130" si="114">AP124*2</f>
        <v>3918.38</v>
      </c>
      <c r="AT124" s="51"/>
      <c r="AU124" s="65"/>
      <c r="AV124" s="54">
        <v>6500</v>
      </c>
      <c r="AW124" s="55"/>
      <c r="AX124" s="56">
        <f t="shared" si="87"/>
        <v>1186.3599999999997</v>
      </c>
      <c r="AY124" s="88"/>
      <c r="AZ124" s="89">
        <v>2677.4</v>
      </c>
      <c r="BA124" s="54"/>
      <c r="BB124" s="54"/>
      <c r="BC124" s="60"/>
      <c r="BD124" s="54">
        <v>6173.28</v>
      </c>
      <c r="BE124" s="54"/>
      <c r="BF124" s="54"/>
      <c r="BG124" s="54">
        <v>6500</v>
      </c>
      <c r="BH124" s="54"/>
      <c r="BI124" s="57">
        <v>7317.79</v>
      </c>
      <c r="BJ124" s="54"/>
      <c r="BK124" s="54">
        <v>8000</v>
      </c>
      <c r="BL124" s="54"/>
      <c r="BM124" s="58">
        <f t="shared" ref="BM124:BM129" si="115">BK124-AV124</f>
        <v>1500</v>
      </c>
      <c r="BN124" s="58"/>
      <c r="BO124" s="54">
        <v>3999.98</v>
      </c>
      <c r="BP124" s="54"/>
      <c r="BQ124" s="66">
        <v>7784.09</v>
      </c>
      <c r="BR124" s="66"/>
      <c r="BS124" s="66">
        <f t="shared" si="51"/>
        <v>-215.90999999999985</v>
      </c>
      <c r="BT124" s="58"/>
      <c r="BU124" s="54">
        <v>7500</v>
      </c>
      <c r="BV124" s="58"/>
      <c r="BW124" s="58">
        <f t="shared" si="65"/>
        <v>-500</v>
      </c>
      <c r="BX124" s="58"/>
      <c r="BY124" s="90" t="s">
        <v>204</v>
      </c>
      <c r="BZ124" s="66">
        <v>11565.22</v>
      </c>
      <c r="CA124" s="66"/>
      <c r="CB124" s="54">
        <v>7500</v>
      </c>
      <c r="CC124" s="54"/>
      <c r="CD124" s="54">
        <v>6613.08</v>
      </c>
      <c r="CE124" s="54"/>
      <c r="CF124" s="54">
        <v>7500</v>
      </c>
      <c r="CG124" s="132"/>
      <c r="CH124" s="200">
        <f>CF124-CB124</f>
        <v>0</v>
      </c>
      <c r="CI124" s="200"/>
      <c r="CJ124" s="295" t="s">
        <v>204</v>
      </c>
    </row>
    <row r="125" spans="1:88" ht="18" customHeight="1" x14ac:dyDescent="0.2">
      <c r="A125" s="4"/>
      <c r="B125" s="27"/>
      <c r="C125" s="28" t="s">
        <v>92</v>
      </c>
      <c r="D125" s="28"/>
      <c r="E125" s="29"/>
      <c r="F125" s="28"/>
      <c r="G125" s="30">
        <v>379.52</v>
      </c>
      <c r="H125" s="31"/>
      <c r="I125" s="30">
        <v>1416.63</v>
      </c>
      <c r="J125" s="31"/>
      <c r="K125" s="30">
        <f t="shared" si="108"/>
        <v>-1037.1099999999999</v>
      </c>
      <c r="L125" s="31"/>
      <c r="M125" s="32">
        <f t="shared" si="109"/>
        <v>0.26790000000000003</v>
      </c>
      <c r="N125" s="31"/>
      <c r="O125" s="30">
        <v>0</v>
      </c>
      <c r="P125" s="31"/>
      <c r="Q125" s="30">
        <v>1416.67</v>
      </c>
      <c r="R125" s="31"/>
      <c r="S125" s="30">
        <f t="shared" si="110"/>
        <v>-1416.67</v>
      </c>
      <c r="T125" s="31"/>
      <c r="U125" s="32">
        <f t="shared" si="111"/>
        <v>0</v>
      </c>
      <c r="V125" s="31"/>
      <c r="W125" s="33">
        <v>6756.12</v>
      </c>
      <c r="X125" s="33"/>
      <c r="Y125" s="33">
        <v>1416.67</v>
      </c>
      <c r="Z125" s="33"/>
      <c r="AA125" s="33">
        <f t="shared" si="112"/>
        <v>5339.45</v>
      </c>
      <c r="AB125" s="33"/>
      <c r="AC125" s="33"/>
      <c r="AD125" s="34">
        <v>16204</v>
      </c>
      <c r="AE125" s="34"/>
      <c r="AF125" s="49">
        <v>16629.48</v>
      </c>
      <c r="AG125" s="50"/>
      <c r="AH125" s="51">
        <v>10000</v>
      </c>
      <c r="AI125" s="51"/>
      <c r="AJ125" s="51">
        <v>12303.72</v>
      </c>
      <c r="AK125" s="51"/>
      <c r="AL125" s="51">
        <v>17000</v>
      </c>
      <c r="AM125" s="51"/>
      <c r="AN125" s="51">
        <v>16298.31</v>
      </c>
      <c r="AO125" s="51"/>
      <c r="AP125" s="51">
        <v>10372.41</v>
      </c>
      <c r="AQ125" s="51"/>
      <c r="AR125" s="51">
        <f t="shared" si="113"/>
        <v>4249.97</v>
      </c>
      <c r="AS125" s="51">
        <f t="shared" si="114"/>
        <v>20744.82</v>
      </c>
      <c r="AT125" s="51"/>
      <c r="AU125" s="65"/>
      <c r="AV125" s="54">
        <v>17000</v>
      </c>
      <c r="AW125" s="55"/>
      <c r="AX125" s="56">
        <f t="shared" si="87"/>
        <v>-701.69000000000051</v>
      </c>
      <c r="AY125" s="88"/>
      <c r="AZ125" s="89">
        <v>4961.01</v>
      </c>
      <c r="BA125" s="54"/>
      <c r="BB125" s="54"/>
      <c r="BC125" s="60"/>
      <c r="BD125" s="54">
        <v>8495.66</v>
      </c>
      <c r="BE125" s="54"/>
      <c r="BF125" s="54"/>
      <c r="BG125" s="54">
        <v>17000</v>
      </c>
      <c r="BH125" s="54"/>
      <c r="BI125" s="57">
        <v>12671.4</v>
      </c>
      <c r="BJ125" s="54"/>
      <c r="BK125" s="54">
        <v>7000</v>
      </c>
      <c r="BL125" s="54"/>
      <c r="BM125" s="58">
        <f t="shared" si="115"/>
        <v>-10000</v>
      </c>
      <c r="BN125" s="58"/>
      <c r="BO125" s="54">
        <v>4345.92</v>
      </c>
      <c r="BP125" s="54"/>
      <c r="BQ125" s="66">
        <v>7038.27</v>
      </c>
      <c r="BR125" s="66"/>
      <c r="BS125" s="66">
        <f t="shared" si="51"/>
        <v>38.270000000000437</v>
      </c>
      <c r="BT125" s="58"/>
      <c r="BU125" s="54">
        <v>10000</v>
      </c>
      <c r="BV125" s="58"/>
      <c r="BW125" s="58">
        <f t="shared" si="65"/>
        <v>3000</v>
      </c>
      <c r="BX125" s="58"/>
      <c r="BY125" s="91" t="s">
        <v>285</v>
      </c>
      <c r="BZ125" s="66">
        <v>12822.1</v>
      </c>
      <c r="CA125" s="66"/>
      <c r="CB125" s="54">
        <v>10000</v>
      </c>
      <c r="CC125" s="54"/>
      <c r="CD125" s="54">
        <v>2691.86</v>
      </c>
      <c r="CE125" s="54"/>
      <c r="CF125" s="54">
        <v>8000</v>
      </c>
      <c r="CG125" s="132"/>
      <c r="CH125" s="200">
        <f t="shared" ref="CH125:CH130" si="116">CF125-CB125</f>
        <v>-2000</v>
      </c>
      <c r="CI125" s="200"/>
      <c r="CJ125" s="308" t="s">
        <v>286</v>
      </c>
    </row>
    <row r="126" spans="1:88" ht="18" customHeight="1" x14ac:dyDescent="0.2">
      <c r="A126" s="4"/>
      <c r="B126" s="27"/>
      <c r="C126" s="28" t="s">
        <v>93</v>
      </c>
      <c r="D126" s="28"/>
      <c r="E126" s="29"/>
      <c r="F126" s="28"/>
      <c r="G126" s="30">
        <v>0</v>
      </c>
      <c r="H126" s="31"/>
      <c r="I126" s="30">
        <v>291.63</v>
      </c>
      <c r="J126" s="31"/>
      <c r="K126" s="30">
        <f t="shared" si="108"/>
        <v>-291.63</v>
      </c>
      <c r="L126" s="31"/>
      <c r="M126" s="32">
        <f t="shared" si="109"/>
        <v>0</v>
      </c>
      <c r="N126" s="31"/>
      <c r="O126" s="30">
        <v>0</v>
      </c>
      <c r="P126" s="31"/>
      <c r="Q126" s="30">
        <v>291.67</v>
      </c>
      <c r="R126" s="31"/>
      <c r="S126" s="30">
        <f t="shared" si="110"/>
        <v>-291.67</v>
      </c>
      <c r="T126" s="31"/>
      <c r="U126" s="32">
        <f t="shared" si="111"/>
        <v>0</v>
      </c>
      <c r="V126" s="31"/>
      <c r="W126" s="33">
        <v>0</v>
      </c>
      <c r="X126" s="33"/>
      <c r="Y126" s="33">
        <v>291.67</v>
      </c>
      <c r="Z126" s="33"/>
      <c r="AA126" s="33">
        <f t="shared" si="112"/>
        <v>-291.67</v>
      </c>
      <c r="AB126" s="33"/>
      <c r="AC126" s="33"/>
      <c r="AD126" s="34"/>
      <c r="AE126" s="34"/>
      <c r="AF126" s="49"/>
      <c r="AG126" s="50"/>
      <c r="AH126" s="51">
        <v>3000</v>
      </c>
      <c r="AI126" s="51"/>
      <c r="AJ126" s="51">
        <v>3695.61</v>
      </c>
      <c r="AK126" s="51"/>
      <c r="AL126" s="51">
        <v>3500</v>
      </c>
      <c r="AM126" s="51"/>
      <c r="AN126" s="51">
        <v>509.77</v>
      </c>
      <c r="AO126" s="51"/>
      <c r="AP126" s="51">
        <f t="shared" ref="AP126:AP128" si="117">ROUND(G126+O126+W126,5)</f>
        <v>0</v>
      </c>
      <c r="AQ126" s="51"/>
      <c r="AR126" s="51">
        <f t="shared" si="113"/>
        <v>874.97</v>
      </c>
      <c r="AS126" s="51">
        <f t="shared" si="114"/>
        <v>0</v>
      </c>
      <c r="AT126" s="51"/>
      <c r="AU126" s="65"/>
      <c r="AV126" s="54">
        <v>3500</v>
      </c>
      <c r="AW126" s="55"/>
      <c r="AX126" s="56">
        <f t="shared" si="87"/>
        <v>-2990.23</v>
      </c>
      <c r="AY126" s="88"/>
      <c r="AZ126" s="89">
        <v>3392.06</v>
      </c>
      <c r="BA126" s="54"/>
      <c r="BB126" s="54"/>
      <c r="BC126" s="60"/>
      <c r="BD126" s="54">
        <v>3655.72</v>
      </c>
      <c r="BE126" s="54"/>
      <c r="BF126" s="54"/>
      <c r="BG126" s="54">
        <v>3500</v>
      </c>
      <c r="BH126" s="54"/>
      <c r="BI126" s="57">
        <v>5913.04</v>
      </c>
      <c r="BJ126" s="54"/>
      <c r="BK126" s="54">
        <v>5000</v>
      </c>
      <c r="BL126" s="54"/>
      <c r="BM126" s="58">
        <f t="shared" si="115"/>
        <v>1500</v>
      </c>
      <c r="BN126" s="58"/>
      <c r="BO126" s="54">
        <v>509.92</v>
      </c>
      <c r="BP126" s="54"/>
      <c r="BQ126" s="66">
        <v>4720.54</v>
      </c>
      <c r="BR126" s="66"/>
      <c r="BS126" s="66">
        <f t="shared" si="51"/>
        <v>-279.46000000000004</v>
      </c>
      <c r="BT126" s="58"/>
      <c r="BU126" s="54">
        <v>5000</v>
      </c>
      <c r="BV126" s="58"/>
      <c r="BW126" s="58">
        <f t="shared" si="65"/>
        <v>0</v>
      </c>
      <c r="BX126" s="58"/>
      <c r="BY126" s="91" t="s">
        <v>287</v>
      </c>
      <c r="BZ126" s="66">
        <v>6455.41</v>
      </c>
      <c r="CA126" s="66"/>
      <c r="CB126" s="54">
        <v>4000</v>
      </c>
      <c r="CC126" s="54"/>
      <c r="CD126" s="54">
        <v>3791.3</v>
      </c>
      <c r="CE126" s="54"/>
      <c r="CF126" s="54">
        <v>4000</v>
      </c>
      <c r="CG126" s="132"/>
      <c r="CH126" s="200">
        <f t="shared" si="116"/>
        <v>0</v>
      </c>
      <c r="CI126" s="200"/>
      <c r="CJ126" s="295" t="s">
        <v>204</v>
      </c>
    </row>
    <row r="127" spans="1:88" ht="18" customHeight="1" x14ac:dyDescent="0.2">
      <c r="A127" s="4"/>
      <c r="B127" s="27"/>
      <c r="C127" s="28" t="s">
        <v>94</v>
      </c>
      <c r="D127" s="28"/>
      <c r="E127" s="29"/>
      <c r="F127" s="28"/>
      <c r="G127" s="30">
        <v>0</v>
      </c>
      <c r="H127" s="31"/>
      <c r="I127" s="30">
        <v>125</v>
      </c>
      <c r="J127" s="31"/>
      <c r="K127" s="30">
        <f t="shared" si="108"/>
        <v>-125</v>
      </c>
      <c r="L127" s="31"/>
      <c r="M127" s="32">
        <f t="shared" si="109"/>
        <v>0</v>
      </c>
      <c r="N127" s="31"/>
      <c r="O127" s="30">
        <v>0</v>
      </c>
      <c r="P127" s="31"/>
      <c r="Q127" s="30">
        <v>125</v>
      </c>
      <c r="R127" s="31"/>
      <c r="S127" s="30">
        <f t="shared" si="110"/>
        <v>-125</v>
      </c>
      <c r="T127" s="31"/>
      <c r="U127" s="32">
        <f t="shared" si="111"/>
        <v>0</v>
      </c>
      <c r="V127" s="31"/>
      <c r="W127" s="33">
        <v>0</v>
      </c>
      <c r="X127" s="33"/>
      <c r="Y127" s="33">
        <v>125</v>
      </c>
      <c r="Z127" s="33"/>
      <c r="AA127" s="33">
        <f t="shared" si="112"/>
        <v>-125</v>
      </c>
      <c r="AB127" s="33"/>
      <c r="AC127" s="33"/>
      <c r="AD127" s="34">
        <v>4000</v>
      </c>
      <c r="AE127" s="34"/>
      <c r="AF127" s="49">
        <v>1786.19</v>
      </c>
      <c r="AG127" s="50"/>
      <c r="AH127" s="51">
        <v>4000</v>
      </c>
      <c r="AI127" s="51"/>
      <c r="AJ127" s="51">
        <v>632.09</v>
      </c>
      <c r="AK127" s="51"/>
      <c r="AL127" s="51">
        <v>1500</v>
      </c>
      <c r="AM127" s="51"/>
      <c r="AN127" s="51">
        <v>228</v>
      </c>
      <c r="AO127" s="51"/>
      <c r="AP127" s="51">
        <f t="shared" si="117"/>
        <v>0</v>
      </c>
      <c r="AQ127" s="51"/>
      <c r="AR127" s="51">
        <f t="shared" si="113"/>
        <v>375</v>
      </c>
      <c r="AS127" s="51">
        <f t="shared" si="114"/>
        <v>0</v>
      </c>
      <c r="AT127" s="51"/>
      <c r="AU127" s="65"/>
      <c r="AV127" s="54">
        <v>1500</v>
      </c>
      <c r="AW127" s="55"/>
      <c r="AX127" s="56">
        <f t="shared" si="87"/>
        <v>-1272</v>
      </c>
      <c r="AY127" s="88"/>
      <c r="AZ127" s="89">
        <v>1618.38</v>
      </c>
      <c r="BA127" s="54"/>
      <c r="BB127" s="54"/>
      <c r="BC127" s="60"/>
      <c r="BD127" s="54">
        <v>1618.38</v>
      </c>
      <c r="BE127" s="54"/>
      <c r="BF127" s="54"/>
      <c r="BG127" s="54">
        <v>1500</v>
      </c>
      <c r="BH127" s="54"/>
      <c r="BI127" s="57">
        <v>299.8</v>
      </c>
      <c r="BJ127" s="54"/>
      <c r="BK127" s="54">
        <v>1100</v>
      </c>
      <c r="BL127" s="54"/>
      <c r="BM127" s="58">
        <f t="shared" si="115"/>
        <v>-400</v>
      </c>
      <c r="BN127" s="58"/>
      <c r="BO127" s="54">
        <v>1055.94</v>
      </c>
      <c r="BP127" s="54"/>
      <c r="BQ127" s="66">
        <v>1130.94</v>
      </c>
      <c r="BR127" s="66"/>
      <c r="BS127" s="66">
        <f t="shared" si="51"/>
        <v>30.940000000000055</v>
      </c>
      <c r="BT127" s="58"/>
      <c r="BU127" s="54">
        <v>1000</v>
      </c>
      <c r="BV127" s="58"/>
      <c r="BW127" s="58">
        <f t="shared" si="65"/>
        <v>-100</v>
      </c>
      <c r="BX127" s="58"/>
      <c r="BY127" s="90" t="s">
        <v>204</v>
      </c>
      <c r="BZ127" s="66">
        <v>225</v>
      </c>
      <c r="CA127" s="66"/>
      <c r="CB127" s="54">
        <v>1000</v>
      </c>
      <c r="CC127" s="54"/>
      <c r="CD127" s="54">
        <v>0</v>
      </c>
      <c r="CE127" s="54"/>
      <c r="CF127" s="54">
        <v>1000</v>
      </c>
      <c r="CG127" s="132"/>
      <c r="CH127" s="200">
        <f t="shared" si="116"/>
        <v>0</v>
      </c>
      <c r="CI127" s="200"/>
      <c r="CJ127" s="295" t="s">
        <v>204</v>
      </c>
    </row>
    <row r="128" spans="1:88" ht="18" customHeight="1" x14ac:dyDescent="0.2">
      <c r="A128" s="4"/>
      <c r="B128" s="27"/>
      <c r="C128" s="348" t="s">
        <v>95</v>
      </c>
      <c r="D128" s="348"/>
      <c r="E128" s="348"/>
      <c r="F128" s="348"/>
      <c r="G128" s="30">
        <v>0</v>
      </c>
      <c r="H128" s="31"/>
      <c r="I128" s="30">
        <v>166.63</v>
      </c>
      <c r="J128" s="31"/>
      <c r="K128" s="30">
        <f t="shared" si="108"/>
        <v>-166.63</v>
      </c>
      <c r="L128" s="31"/>
      <c r="M128" s="32">
        <f t="shared" si="109"/>
        <v>0</v>
      </c>
      <c r="N128" s="31"/>
      <c r="O128" s="30">
        <v>0</v>
      </c>
      <c r="P128" s="31"/>
      <c r="Q128" s="30">
        <v>166.67</v>
      </c>
      <c r="R128" s="31"/>
      <c r="S128" s="30">
        <f t="shared" si="110"/>
        <v>-166.67</v>
      </c>
      <c r="T128" s="31"/>
      <c r="U128" s="32">
        <f t="shared" si="111"/>
        <v>0</v>
      </c>
      <c r="V128" s="31"/>
      <c r="W128" s="33">
        <v>0</v>
      </c>
      <c r="X128" s="33"/>
      <c r="Y128" s="33">
        <v>166.67</v>
      </c>
      <c r="Z128" s="33"/>
      <c r="AA128" s="33">
        <f t="shared" si="112"/>
        <v>-166.67</v>
      </c>
      <c r="AB128" s="33"/>
      <c r="AC128" s="33"/>
      <c r="AD128" s="34"/>
      <c r="AE128" s="34"/>
      <c r="AF128" s="49"/>
      <c r="AG128" s="50"/>
      <c r="AH128" s="51">
        <v>2000</v>
      </c>
      <c r="AI128" s="51"/>
      <c r="AJ128" s="51">
        <v>2299.7800000000002</v>
      </c>
      <c r="AK128" s="51"/>
      <c r="AL128" s="51">
        <v>2000</v>
      </c>
      <c r="AM128" s="51"/>
      <c r="AN128" s="51">
        <v>94.04</v>
      </c>
      <c r="AO128" s="51"/>
      <c r="AP128" s="51">
        <f t="shared" si="117"/>
        <v>0</v>
      </c>
      <c r="AQ128" s="51"/>
      <c r="AR128" s="51">
        <f t="shared" si="113"/>
        <v>499.97</v>
      </c>
      <c r="AS128" s="51">
        <f t="shared" si="114"/>
        <v>0</v>
      </c>
      <c r="AT128" s="51"/>
      <c r="AU128" s="65"/>
      <c r="AV128" s="54">
        <v>2000</v>
      </c>
      <c r="AW128" s="55"/>
      <c r="AX128" s="56">
        <f t="shared" si="87"/>
        <v>-1905.96</v>
      </c>
      <c r="AY128" s="88"/>
      <c r="AZ128" s="89">
        <v>2537.0500000000002</v>
      </c>
      <c r="BA128" s="54"/>
      <c r="BB128" s="54"/>
      <c r="BC128" s="60"/>
      <c r="BD128" s="54">
        <v>2901.05</v>
      </c>
      <c r="BE128" s="54"/>
      <c r="BF128" s="54"/>
      <c r="BG128" s="54">
        <v>2000</v>
      </c>
      <c r="BH128" s="54"/>
      <c r="BI128" s="57">
        <v>1341.66</v>
      </c>
      <c r="BJ128" s="54"/>
      <c r="BK128" s="54">
        <v>7100</v>
      </c>
      <c r="BL128" s="54"/>
      <c r="BM128" s="58">
        <f t="shared" si="115"/>
        <v>5100</v>
      </c>
      <c r="BN128" s="58"/>
      <c r="BO128" s="54">
        <v>3538.88</v>
      </c>
      <c r="BP128" s="54"/>
      <c r="BQ128" s="66">
        <v>5141.49</v>
      </c>
      <c r="BR128" s="66"/>
      <c r="BS128" s="66">
        <f t="shared" ref="BS128:BS192" si="118">BQ128-BK128</f>
        <v>-1958.5100000000002</v>
      </c>
      <c r="BT128" s="58"/>
      <c r="BU128" s="54">
        <v>5000</v>
      </c>
      <c r="BV128" s="58"/>
      <c r="BW128" s="58">
        <f t="shared" si="65"/>
        <v>-2100</v>
      </c>
      <c r="BX128" s="58"/>
      <c r="BY128" s="91" t="s">
        <v>288</v>
      </c>
      <c r="BZ128" s="66">
        <v>693.9</v>
      </c>
      <c r="CA128" s="66"/>
      <c r="CB128" s="54">
        <v>5000</v>
      </c>
      <c r="CC128" s="54"/>
      <c r="CD128" s="54">
        <v>3025.46</v>
      </c>
      <c r="CE128" s="54"/>
      <c r="CF128" s="54">
        <v>5000</v>
      </c>
      <c r="CG128" s="132"/>
      <c r="CH128" s="200">
        <f t="shared" si="116"/>
        <v>0</v>
      </c>
      <c r="CI128" s="200"/>
      <c r="CJ128" s="295" t="s">
        <v>204</v>
      </c>
    </row>
    <row r="129" spans="1:88" s="7" customFormat="1" ht="14.25" customHeight="1" thickBot="1" x14ac:dyDescent="0.25">
      <c r="A129" s="6"/>
      <c r="B129" s="201"/>
      <c r="C129" s="133" t="s">
        <v>96</v>
      </c>
      <c r="D129" s="133"/>
      <c r="E129" s="134"/>
      <c r="F129" s="202"/>
      <c r="G129" s="203">
        <v>0</v>
      </c>
      <c r="H129" s="204"/>
      <c r="I129" s="203">
        <v>83.37</v>
      </c>
      <c r="J129" s="204"/>
      <c r="K129" s="203">
        <f t="shared" si="108"/>
        <v>-83.37</v>
      </c>
      <c r="L129" s="204"/>
      <c r="M129" s="205">
        <f t="shared" si="109"/>
        <v>0</v>
      </c>
      <c r="N129" s="204"/>
      <c r="O129" s="203">
        <v>0</v>
      </c>
      <c r="P129" s="204"/>
      <c r="Q129" s="203">
        <v>83.33</v>
      </c>
      <c r="R129" s="204"/>
      <c r="S129" s="203">
        <f t="shared" si="110"/>
        <v>-83.33</v>
      </c>
      <c r="T129" s="204"/>
      <c r="U129" s="205">
        <f t="shared" si="111"/>
        <v>0</v>
      </c>
      <c r="V129" s="204"/>
      <c r="W129" s="206">
        <v>12</v>
      </c>
      <c r="X129" s="206"/>
      <c r="Y129" s="206">
        <v>83.33</v>
      </c>
      <c r="Z129" s="206"/>
      <c r="AA129" s="206">
        <f t="shared" si="112"/>
        <v>-71.33</v>
      </c>
      <c r="AB129" s="206"/>
      <c r="AC129" s="206"/>
      <c r="AD129" s="206">
        <v>1000</v>
      </c>
      <c r="AE129" s="206"/>
      <c r="AF129" s="207">
        <v>396.77</v>
      </c>
      <c r="AG129" s="208"/>
      <c r="AH129" s="209">
        <v>1000</v>
      </c>
      <c r="AI129" s="209"/>
      <c r="AJ129" s="209">
        <v>298.2</v>
      </c>
      <c r="AK129" s="209"/>
      <c r="AL129" s="209">
        <v>1000</v>
      </c>
      <c r="AM129" s="209"/>
      <c r="AN129" s="209">
        <v>688.39</v>
      </c>
      <c r="AO129" s="209"/>
      <c r="AP129" s="209">
        <v>212.89</v>
      </c>
      <c r="AQ129" s="209"/>
      <c r="AR129" s="209">
        <f t="shared" si="113"/>
        <v>250.03</v>
      </c>
      <c r="AS129" s="209">
        <f t="shared" si="114"/>
        <v>425.78</v>
      </c>
      <c r="AT129" s="209"/>
      <c r="AU129" s="210"/>
      <c r="AV129" s="93">
        <v>3000</v>
      </c>
      <c r="AW129" s="94"/>
      <c r="AX129" s="95">
        <f t="shared" si="87"/>
        <v>-311.61</v>
      </c>
      <c r="AY129" s="96"/>
      <c r="AZ129" s="97">
        <v>3268.14</v>
      </c>
      <c r="BA129" s="93"/>
      <c r="BB129" s="93"/>
      <c r="BC129" s="99"/>
      <c r="BD129" s="93">
        <v>4733.3999999999996</v>
      </c>
      <c r="BE129" s="93"/>
      <c r="BF129" s="93"/>
      <c r="BG129" s="93">
        <v>3000</v>
      </c>
      <c r="BH129" s="93"/>
      <c r="BI129" s="100">
        <v>4817.96</v>
      </c>
      <c r="BJ129" s="93"/>
      <c r="BK129" s="93">
        <v>3500</v>
      </c>
      <c r="BL129" s="93"/>
      <c r="BM129" s="101">
        <f t="shared" si="115"/>
        <v>500</v>
      </c>
      <c r="BN129" s="101"/>
      <c r="BO129" s="93">
        <v>2792.23</v>
      </c>
      <c r="BP129" s="93"/>
      <c r="BQ129" s="102">
        <v>3708.04</v>
      </c>
      <c r="BR129" s="102"/>
      <c r="BS129" s="102">
        <f t="shared" si="118"/>
        <v>208.03999999999996</v>
      </c>
      <c r="BT129" s="101"/>
      <c r="BU129" s="93">
        <v>1500</v>
      </c>
      <c r="BV129" s="101"/>
      <c r="BW129" s="101">
        <f t="shared" si="65"/>
        <v>-2000</v>
      </c>
      <c r="BX129" s="58"/>
      <c r="BY129" s="91" t="s">
        <v>207</v>
      </c>
      <c r="BZ129" s="102">
        <v>3177.45</v>
      </c>
      <c r="CA129" s="102"/>
      <c r="CB129" s="93">
        <v>1500</v>
      </c>
      <c r="CC129" s="93"/>
      <c r="CD129" s="93">
        <v>7350.26</v>
      </c>
      <c r="CE129" s="93"/>
      <c r="CF129" s="93">
        <v>1500</v>
      </c>
      <c r="CG129" s="99"/>
      <c r="CH129" s="103">
        <f t="shared" si="116"/>
        <v>0</v>
      </c>
      <c r="CI129" s="129"/>
      <c r="CJ129" s="304" t="s">
        <v>317</v>
      </c>
    </row>
    <row r="130" spans="1:88" ht="18" customHeight="1" thickBot="1" x14ac:dyDescent="0.25">
      <c r="A130" s="4"/>
      <c r="B130" s="27" t="s">
        <v>97</v>
      </c>
      <c r="C130" s="28"/>
      <c r="D130" s="28"/>
      <c r="E130" s="29"/>
      <c r="F130" s="28"/>
      <c r="G130" s="30">
        <f>ROUND(SUM(G123:G129),5)</f>
        <v>780.98</v>
      </c>
      <c r="H130" s="31"/>
      <c r="I130" s="30">
        <f>ROUND(SUM(I123:I129),5)</f>
        <v>2624.89</v>
      </c>
      <c r="J130" s="31"/>
      <c r="K130" s="30">
        <f t="shared" si="108"/>
        <v>-1843.91</v>
      </c>
      <c r="L130" s="31"/>
      <c r="M130" s="32">
        <f t="shared" si="109"/>
        <v>0.29753000000000002</v>
      </c>
      <c r="N130" s="31"/>
      <c r="O130" s="30">
        <f>ROUND(SUM(O123:O129),5)</f>
        <v>0</v>
      </c>
      <c r="P130" s="31"/>
      <c r="Q130" s="30">
        <f>ROUND(SUM(Q123:Q129),5)</f>
        <v>2625.01</v>
      </c>
      <c r="R130" s="31"/>
      <c r="S130" s="30">
        <f t="shared" si="110"/>
        <v>-2625.01</v>
      </c>
      <c r="T130" s="31"/>
      <c r="U130" s="32">
        <f t="shared" si="111"/>
        <v>0</v>
      </c>
      <c r="V130" s="31"/>
      <c r="W130" s="76">
        <f>SUM(W124:W129)</f>
        <v>7518.12</v>
      </c>
      <c r="X130" s="76"/>
      <c r="Y130" s="76">
        <f>SUM(Y124:Y129)</f>
        <v>2625.01</v>
      </c>
      <c r="Z130" s="76"/>
      <c r="AA130" s="76">
        <f t="shared" si="112"/>
        <v>4893.1099999999997</v>
      </c>
      <c r="AB130" s="76"/>
      <c r="AC130" s="76"/>
      <c r="AD130" s="174">
        <f>SUM(AD124:AD129)</f>
        <v>25204</v>
      </c>
      <c r="AE130" s="174"/>
      <c r="AF130" s="175">
        <f>SUM(AF124:AF129)</f>
        <v>23389.129999999997</v>
      </c>
      <c r="AG130" s="79"/>
      <c r="AH130" s="41">
        <f>SUM(AH124:AH129)</f>
        <v>24000</v>
      </c>
      <c r="AI130" s="41"/>
      <c r="AJ130" s="41">
        <v>23616.41</v>
      </c>
      <c r="AK130" s="41"/>
      <c r="AL130" s="41">
        <f>SUM(AL124:AL129)</f>
        <v>31500</v>
      </c>
      <c r="AM130" s="41"/>
      <c r="AN130" s="41">
        <f>SUM(AN124:AN129)</f>
        <v>25504.87</v>
      </c>
      <c r="AO130" s="41"/>
      <c r="AP130" s="41">
        <f>SUM(AP124:AP129)</f>
        <v>12544.49</v>
      </c>
      <c r="AQ130" s="41"/>
      <c r="AR130" s="41">
        <f t="shared" si="113"/>
        <v>7874.91</v>
      </c>
      <c r="AS130" s="41">
        <f t="shared" si="114"/>
        <v>25088.98</v>
      </c>
      <c r="AT130" s="41"/>
      <c r="AU130" s="42"/>
      <c r="AV130" s="167">
        <f>SUM(AV124:AV129)</f>
        <v>33500</v>
      </c>
      <c r="AW130" s="168"/>
      <c r="AX130" s="169">
        <f t="shared" si="87"/>
        <v>-5995.130000000001</v>
      </c>
      <c r="AY130" s="194"/>
      <c r="AZ130" s="211">
        <v>18454.04</v>
      </c>
      <c r="BA130" s="167"/>
      <c r="BB130" s="167"/>
      <c r="BC130" s="190"/>
      <c r="BD130" s="167">
        <f>SUM(BD124:BD129)</f>
        <v>27577.489999999998</v>
      </c>
      <c r="BE130" s="167"/>
      <c r="BF130" s="167"/>
      <c r="BG130" s="167">
        <f>SUM(BG124:BG129)</f>
        <v>33500</v>
      </c>
      <c r="BH130" s="167"/>
      <c r="BI130" s="167">
        <f>SUM(BI124:BI129)</f>
        <v>32361.649999999998</v>
      </c>
      <c r="BJ130" s="167"/>
      <c r="BK130" s="167">
        <f>SUM(BK124:BK129)</f>
        <v>31700</v>
      </c>
      <c r="BL130" s="167"/>
      <c r="BM130" s="191">
        <f>BK130-AV130</f>
        <v>-1800</v>
      </c>
      <c r="BN130" s="191"/>
      <c r="BO130" s="167">
        <f>SUM(BO124:BO129)</f>
        <v>16242.869999999999</v>
      </c>
      <c r="BP130" s="167"/>
      <c r="BQ130" s="192">
        <f>SUM(BQ124:BQ129)</f>
        <v>29523.370000000003</v>
      </c>
      <c r="BR130" s="192"/>
      <c r="BS130" s="192">
        <f t="shared" si="118"/>
        <v>-2176.6299999999974</v>
      </c>
      <c r="BT130" s="191"/>
      <c r="BU130" s="167">
        <f>SUM(BU123:BU129)</f>
        <v>30000</v>
      </c>
      <c r="BV130" s="191"/>
      <c r="BW130" s="191">
        <f t="shared" si="65"/>
        <v>-1700</v>
      </c>
      <c r="BX130" s="58"/>
      <c r="BY130" s="91"/>
      <c r="BZ130" s="167">
        <f>SUM(BZ123:BZ129)</f>
        <v>34939.08</v>
      </c>
      <c r="CA130" s="167"/>
      <c r="CB130" s="167">
        <f>SUM(CB123:CB129)</f>
        <v>29000</v>
      </c>
      <c r="CC130" s="167"/>
      <c r="CD130" s="167">
        <f>SUM(CD123:CD129)</f>
        <v>23471.96</v>
      </c>
      <c r="CE130" s="167"/>
      <c r="CF130" s="167">
        <f>SUM(CF123:CF129)</f>
        <v>27000</v>
      </c>
      <c r="CG130" s="82"/>
      <c r="CH130" s="199">
        <f t="shared" si="116"/>
        <v>-2000</v>
      </c>
      <c r="CI130" s="88"/>
      <c r="CJ130" s="310"/>
    </row>
    <row r="131" spans="1:88" ht="18" customHeight="1" x14ac:dyDescent="0.2">
      <c r="A131" s="4"/>
      <c r="B131" s="27" t="s">
        <v>98</v>
      </c>
      <c r="C131" s="28"/>
      <c r="D131" s="28"/>
      <c r="E131" s="29"/>
      <c r="F131" s="28"/>
      <c r="G131" s="30"/>
      <c r="H131" s="31"/>
      <c r="I131" s="30"/>
      <c r="J131" s="31"/>
      <c r="K131" s="30"/>
      <c r="L131" s="31"/>
      <c r="M131" s="32"/>
      <c r="N131" s="31"/>
      <c r="O131" s="30"/>
      <c r="P131" s="31"/>
      <c r="Q131" s="30"/>
      <c r="R131" s="31"/>
      <c r="S131" s="30"/>
      <c r="T131" s="31"/>
      <c r="U131" s="32"/>
      <c r="V131" s="31"/>
      <c r="W131" s="33"/>
      <c r="X131" s="33"/>
      <c r="Y131" s="33"/>
      <c r="Z131" s="33"/>
      <c r="AA131" s="33"/>
      <c r="AB131" s="33"/>
      <c r="AC131" s="33"/>
      <c r="AD131" s="34"/>
      <c r="AE131" s="34"/>
      <c r="AF131" s="49"/>
      <c r="AG131" s="50"/>
      <c r="AH131" s="51"/>
      <c r="AI131" s="51"/>
      <c r="AJ131" s="51"/>
      <c r="AK131" s="51"/>
      <c r="AL131" s="51"/>
      <c r="AM131" s="51"/>
      <c r="AN131" s="51"/>
      <c r="AO131" s="51"/>
      <c r="AP131" s="51"/>
      <c r="AQ131" s="51"/>
      <c r="AR131" s="51"/>
      <c r="AS131" s="51"/>
      <c r="AT131" s="51"/>
      <c r="AU131" s="65"/>
      <c r="AV131" s="79"/>
      <c r="AW131" s="80"/>
      <c r="AX131" s="81">
        <f t="shared" si="87"/>
        <v>0</v>
      </c>
      <c r="AY131" s="81"/>
      <c r="AZ131" s="79"/>
      <c r="BA131" s="79"/>
      <c r="BB131" s="79"/>
      <c r="BC131" s="83"/>
      <c r="BD131" s="79"/>
      <c r="BE131" s="79"/>
      <c r="BF131" s="79"/>
      <c r="BG131" s="79"/>
      <c r="BH131" s="79"/>
      <c r="BI131" s="79"/>
      <c r="BJ131" s="79"/>
      <c r="BK131" s="79"/>
      <c r="BL131" s="79"/>
      <c r="BM131" s="84"/>
      <c r="BN131" s="84"/>
      <c r="BO131" s="79"/>
      <c r="BP131" s="79"/>
      <c r="BQ131" s="85"/>
      <c r="BR131" s="85"/>
      <c r="BS131" s="85"/>
      <c r="BT131" s="84"/>
      <c r="BU131" s="79"/>
      <c r="BV131" s="84"/>
      <c r="BW131" s="84"/>
      <c r="BX131" s="58"/>
      <c r="BY131" s="91"/>
      <c r="BZ131" s="212"/>
      <c r="CA131" s="212"/>
      <c r="CB131" s="213"/>
      <c r="CC131" s="213"/>
      <c r="CD131" s="213"/>
      <c r="CE131" s="213"/>
      <c r="CF131" s="213"/>
      <c r="CG131" s="214"/>
      <c r="CH131" s="215"/>
      <c r="CI131" s="199"/>
      <c r="CJ131" s="311"/>
    </row>
    <row r="132" spans="1:88" ht="12" customHeight="1" x14ac:dyDescent="0.2">
      <c r="A132" s="4"/>
      <c r="B132" s="27"/>
      <c r="C132" s="28" t="s">
        <v>70</v>
      </c>
      <c r="D132" s="28"/>
      <c r="E132" s="29"/>
      <c r="F132" s="28"/>
      <c r="G132" s="30"/>
      <c r="H132" s="31"/>
      <c r="I132" s="30"/>
      <c r="J132" s="31"/>
      <c r="K132" s="30"/>
      <c r="L132" s="31"/>
      <c r="M132" s="32"/>
      <c r="N132" s="31"/>
      <c r="O132" s="30"/>
      <c r="P132" s="31"/>
      <c r="Q132" s="30"/>
      <c r="R132" s="31"/>
      <c r="S132" s="30"/>
      <c r="T132" s="31"/>
      <c r="U132" s="32"/>
      <c r="V132" s="31"/>
      <c r="W132" s="33"/>
      <c r="X132" s="33"/>
      <c r="Y132" s="33"/>
      <c r="Z132" s="33"/>
      <c r="AA132" s="33"/>
      <c r="AB132" s="33"/>
      <c r="AC132" s="33"/>
      <c r="AD132" s="34"/>
      <c r="AE132" s="34"/>
      <c r="AF132" s="49"/>
      <c r="AG132" s="50"/>
      <c r="AH132" s="51"/>
      <c r="AI132" s="51"/>
      <c r="AJ132" s="51"/>
      <c r="AK132" s="51"/>
      <c r="AL132" s="51"/>
      <c r="AM132" s="51"/>
      <c r="AN132" s="51"/>
      <c r="AO132" s="51"/>
      <c r="AP132" s="51"/>
      <c r="AQ132" s="51"/>
      <c r="AR132" s="51"/>
      <c r="AS132" s="51"/>
      <c r="AT132" s="51"/>
      <c r="AU132" s="65"/>
      <c r="AV132" s="54"/>
      <c r="AW132" s="55"/>
      <c r="AX132" s="56">
        <f t="shared" si="87"/>
        <v>0</v>
      </c>
      <c r="AY132" s="56"/>
      <c r="AZ132" s="54"/>
      <c r="BA132" s="54"/>
      <c r="BB132" s="54"/>
      <c r="BC132" s="60"/>
      <c r="BD132" s="54"/>
      <c r="BE132" s="54"/>
      <c r="BF132" s="54"/>
      <c r="BG132" s="54"/>
      <c r="BH132" s="54"/>
      <c r="BI132" s="54"/>
      <c r="BJ132" s="54"/>
      <c r="BK132" s="54"/>
      <c r="BL132" s="54"/>
      <c r="BM132" s="58"/>
      <c r="BN132" s="58"/>
      <c r="BO132" s="54"/>
      <c r="BP132" s="54"/>
      <c r="BQ132" s="66"/>
      <c r="BR132" s="66"/>
      <c r="BS132" s="66"/>
      <c r="BT132" s="58"/>
      <c r="BU132" s="54"/>
      <c r="BV132" s="58"/>
      <c r="BW132" s="58"/>
      <c r="BX132" s="58"/>
      <c r="BY132" s="91"/>
      <c r="BZ132" s="115"/>
      <c r="CA132" s="115"/>
      <c r="CB132" s="54"/>
      <c r="CC132" s="54"/>
      <c r="CD132" s="54"/>
      <c r="CE132" s="54"/>
      <c r="CF132" s="54"/>
      <c r="CG132" s="60"/>
      <c r="CH132" s="61"/>
      <c r="CI132" s="200"/>
      <c r="CJ132" s="312"/>
    </row>
    <row r="133" spans="1:88" ht="17.25" customHeight="1" x14ac:dyDescent="0.2">
      <c r="A133" s="4"/>
      <c r="B133" s="27"/>
      <c r="C133" s="28"/>
      <c r="D133" s="28" t="s">
        <v>167</v>
      </c>
      <c r="E133" s="29"/>
      <c r="F133" s="28"/>
      <c r="G133" s="30">
        <v>79.94</v>
      </c>
      <c r="H133" s="31"/>
      <c r="I133" s="30">
        <v>2916.63</v>
      </c>
      <c r="J133" s="31"/>
      <c r="K133" s="30">
        <f t="shared" ref="K133:K140" si="119">ROUND((G133-I133),5)</f>
        <v>-2836.69</v>
      </c>
      <c r="L133" s="31"/>
      <c r="M133" s="32">
        <f t="shared" ref="M133:M140" si="120">ROUND(IF(I133=0, IF(G133=0, 0, 1), G133/I133),5)</f>
        <v>2.741E-2</v>
      </c>
      <c r="N133" s="31"/>
      <c r="O133" s="30">
        <v>74.95</v>
      </c>
      <c r="P133" s="31"/>
      <c r="Q133" s="30">
        <v>2916.67</v>
      </c>
      <c r="R133" s="31"/>
      <c r="S133" s="30">
        <f t="shared" ref="S133:S140" si="121">ROUND((O133-Q133),5)</f>
        <v>-2841.72</v>
      </c>
      <c r="T133" s="31"/>
      <c r="U133" s="32">
        <f t="shared" ref="U133:U140" si="122">ROUND(IF(Q133=0, IF(O133=0, 0, 1), O133/Q133),5)</f>
        <v>2.5700000000000001E-2</v>
      </c>
      <c r="V133" s="31"/>
      <c r="W133" s="33">
        <v>5092.5</v>
      </c>
      <c r="X133" s="33"/>
      <c r="Y133" s="33">
        <v>2916.67</v>
      </c>
      <c r="Z133" s="33"/>
      <c r="AA133" s="33">
        <f t="shared" ref="AA133:AA140" si="123">ROUND((W133-Y133),5)</f>
        <v>2175.83</v>
      </c>
      <c r="AB133" s="33"/>
      <c r="AC133" s="33"/>
      <c r="AD133" s="34"/>
      <c r="AE133" s="34"/>
      <c r="AF133" s="49">
        <v>30976.31</v>
      </c>
      <c r="AG133" s="50"/>
      <c r="AH133" s="51">
        <v>35000</v>
      </c>
      <c r="AI133" s="51"/>
      <c r="AJ133" s="51">
        <v>18260.55</v>
      </c>
      <c r="AK133" s="51"/>
      <c r="AL133" s="51">
        <v>35000</v>
      </c>
      <c r="AM133" s="51"/>
      <c r="AN133" s="51">
        <v>23327.46</v>
      </c>
      <c r="AO133" s="51"/>
      <c r="AP133" s="51">
        <v>15978.93</v>
      </c>
      <c r="AQ133" s="51"/>
      <c r="AR133" s="51">
        <f>ROUND(I133+Q133+Y133,5)</f>
        <v>8749.9699999999993</v>
      </c>
      <c r="AS133" s="51">
        <f t="shared" ref="AS133:AS153" si="124">AP133*2</f>
        <v>31957.86</v>
      </c>
      <c r="AT133" s="51"/>
      <c r="AU133" s="65"/>
      <c r="AV133" s="54">
        <v>35000</v>
      </c>
      <c r="AW133" s="55"/>
      <c r="AX133" s="56">
        <f t="shared" si="87"/>
        <v>-11672.54</v>
      </c>
      <c r="AY133" s="88"/>
      <c r="AZ133" s="89">
        <v>23072.47</v>
      </c>
      <c r="BA133" s="54"/>
      <c r="BB133" s="54"/>
      <c r="BC133" s="60"/>
      <c r="BD133" s="54">
        <v>30255.22</v>
      </c>
      <c r="BE133" s="54"/>
      <c r="BF133" s="54"/>
      <c r="BG133" s="54">
        <v>35000</v>
      </c>
      <c r="BH133" s="54"/>
      <c r="BI133" s="57">
        <v>36002.720000000001</v>
      </c>
      <c r="BJ133" s="54"/>
      <c r="BK133" s="54">
        <v>25000</v>
      </c>
      <c r="BL133" s="54"/>
      <c r="BM133" s="58">
        <f t="shared" ref="BM133:BM153" si="125">BK133-BG133</f>
        <v>-10000</v>
      </c>
      <c r="BN133" s="58"/>
      <c r="BO133" s="54">
        <v>15518.7</v>
      </c>
      <c r="BP133" s="54"/>
      <c r="BQ133" s="66">
        <v>30466.82</v>
      </c>
      <c r="BR133" s="66"/>
      <c r="BS133" s="66">
        <f t="shared" si="118"/>
        <v>5466.82</v>
      </c>
      <c r="BT133" s="58"/>
      <c r="BU133" s="54">
        <v>25000</v>
      </c>
      <c r="BV133" s="58"/>
      <c r="BW133" s="58">
        <f t="shared" si="65"/>
        <v>0</v>
      </c>
      <c r="BX133" s="58"/>
      <c r="BY133" s="216" t="s">
        <v>289</v>
      </c>
      <c r="BZ133" s="115">
        <v>3932.92</v>
      </c>
      <c r="CA133" s="115"/>
      <c r="CB133" s="217">
        <v>33000</v>
      </c>
      <c r="CC133" s="217"/>
      <c r="CD133" s="217">
        <v>7123.82</v>
      </c>
      <c r="CE133" s="217"/>
      <c r="CF133" s="217">
        <v>30360</v>
      </c>
      <c r="CG133" s="218"/>
      <c r="CH133" s="61">
        <f>CF133-CB133</f>
        <v>-2640</v>
      </c>
      <c r="CI133" s="200"/>
      <c r="CJ133" s="313" t="s">
        <v>307</v>
      </c>
    </row>
    <row r="134" spans="1:88" ht="17.25" customHeight="1" thickBot="1" x14ac:dyDescent="0.25">
      <c r="A134" s="4"/>
      <c r="B134" s="27"/>
      <c r="C134" s="28"/>
      <c r="D134" s="28" t="s">
        <v>71</v>
      </c>
      <c r="E134" s="29"/>
      <c r="F134" s="28"/>
      <c r="G134" s="30">
        <v>1597.78</v>
      </c>
      <c r="H134" s="31"/>
      <c r="I134" s="30">
        <v>2083.37</v>
      </c>
      <c r="J134" s="31"/>
      <c r="K134" s="30">
        <f t="shared" si="119"/>
        <v>-485.59</v>
      </c>
      <c r="L134" s="31"/>
      <c r="M134" s="32">
        <f t="shared" si="120"/>
        <v>0.76692000000000005</v>
      </c>
      <c r="N134" s="31"/>
      <c r="O134" s="30">
        <v>95</v>
      </c>
      <c r="P134" s="31"/>
      <c r="Q134" s="30">
        <v>2083.33</v>
      </c>
      <c r="R134" s="31"/>
      <c r="S134" s="30">
        <f t="shared" si="121"/>
        <v>-1988.33</v>
      </c>
      <c r="T134" s="31"/>
      <c r="U134" s="32">
        <f t="shared" si="122"/>
        <v>4.5600000000000002E-2</v>
      </c>
      <c r="V134" s="31"/>
      <c r="W134" s="33">
        <f>1958.23+707.5</f>
        <v>2665.73</v>
      </c>
      <c r="X134" s="33"/>
      <c r="Y134" s="33">
        <v>2083.33</v>
      </c>
      <c r="Z134" s="33"/>
      <c r="AA134" s="33">
        <f t="shared" si="123"/>
        <v>582.4</v>
      </c>
      <c r="AB134" s="33"/>
      <c r="AC134" s="33"/>
      <c r="AD134" s="34"/>
      <c r="AE134" s="34"/>
      <c r="AF134" s="71"/>
      <c r="AG134" s="72"/>
      <c r="AH134" s="73">
        <v>30000</v>
      </c>
      <c r="AI134" s="73"/>
      <c r="AJ134" s="73">
        <v>10705.93</v>
      </c>
      <c r="AK134" s="73"/>
      <c r="AL134" s="73">
        <v>25000</v>
      </c>
      <c r="AM134" s="73"/>
      <c r="AN134" s="73">
        <v>7499.88</v>
      </c>
      <c r="AO134" s="73"/>
      <c r="AP134" s="73">
        <v>5491.21</v>
      </c>
      <c r="AQ134" s="73"/>
      <c r="AR134" s="73">
        <f>ROUND(I134+Q134+Y134,5)</f>
        <v>6250.03</v>
      </c>
      <c r="AS134" s="73">
        <f t="shared" si="124"/>
        <v>10982.42</v>
      </c>
      <c r="AT134" s="73"/>
      <c r="AU134" s="116"/>
      <c r="AV134" s="93">
        <v>25000</v>
      </c>
      <c r="AW134" s="94"/>
      <c r="AX134" s="95">
        <f t="shared" si="87"/>
        <v>-17500.12</v>
      </c>
      <c r="AY134" s="96"/>
      <c r="AZ134" s="97">
        <v>697.49</v>
      </c>
      <c r="BA134" s="93"/>
      <c r="BB134" s="93"/>
      <c r="BC134" s="99"/>
      <c r="BD134" s="93">
        <v>4725.47</v>
      </c>
      <c r="BE134" s="93"/>
      <c r="BF134" s="93"/>
      <c r="BG134" s="93">
        <v>20000</v>
      </c>
      <c r="BH134" s="93"/>
      <c r="BI134" s="100">
        <v>13368.87</v>
      </c>
      <c r="BJ134" s="93"/>
      <c r="BK134" s="93">
        <v>5600</v>
      </c>
      <c r="BL134" s="93"/>
      <c r="BM134" s="101">
        <f t="shared" si="125"/>
        <v>-14400</v>
      </c>
      <c r="BN134" s="101"/>
      <c r="BO134" s="93">
        <v>2780.52</v>
      </c>
      <c r="BP134" s="93"/>
      <c r="BQ134" s="102">
        <v>6036.71</v>
      </c>
      <c r="BR134" s="102"/>
      <c r="BS134" s="102">
        <f t="shared" si="118"/>
        <v>436.71000000000004</v>
      </c>
      <c r="BT134" s="101"/>
      <c r="BU134" s="93">
        <v>7500</v>
      </c>
      <c r="BV134" s="101"/>
      <c r="BW134" s="101">
        <f t="shared" si="65"/>
        <v>1900</v>
      </c>
      <c r="BX134" s="58"/>
      <c r="BY134" s="216" t="s">
        <v>290</v>
      </c>
      <c r="BZ134" s="118">
        <v>9770.93</v>
      </c>
      <c r="CA134" s="118"/>
      <c r="CB134" s="219">
        <v>12000</v>
      </c>
      <c r="CC134" s="219"/>
      <c r="CD134" s="219">
        <v>0</v>
      </c>
      <c r="CE134" s="219"/>
      <c r="CF134" s="219">
        <v>10200</v>
      </c>
      <c r="CG134" s="220"/>
      <c r="CH134" s="103">
        <f>CF134-CB134</f>
        <v>-1800</v>
      </c>
      <c r="CI134" s="129"/>
      <c r="CJ134" s="314" t="s">
        <v>308</v>
      </c>
    </row>
    <row r="135" spans="1:88" ht="18" customHeight="1" thickBot="1" x14ac:dyDescent="0.25">
      <c r="A135" s="4"/>
      <c r="B135" s="27"/>
      <c r="C135" s="28" t="s">
        <v>72</v>
      </c>
      <c r="D135" s="28"/>
      <c r="E135" s="29"/>
      <c r="F135" s="28"/>
      <c r="G135" s="30">
        <f>ROUND(SUM(G132:G134),5)</f>
        <v>1677.72</v>
      </c>
      <c r="H135" s="31"/>
      <c r="I135" s="30">
        <f>ROUND(SUM(I132:I134),5)</f>
        <v>5000</v>
      </c>
      <c r="J135" s="31"/>
      <c r="K135" s="30">
        <f t="shared" si="119"/>
        <v>-3322.28</v>
      </c>
      <c r="L135" s="31"/>
      <c r="M135" s="32">
        <f t="shared" si="120"/>
        <v>0.33554</v>
      </c>
      <c r="N135" s="31"/>
      <c r="O135" s="30">
        <f>ROUND(SUM(O132:O134),5)</f>
        <v>169.95</v>
      </c>
      <c r="P135" s="31"/>
      <c r="Q135" s="30">
        <f>ROUND(SUM(Q132:Q134),5)</f>
        <v>5000</v>
      </c>
      <c r="R135" s="31"/>
      <c r="S135" s="30">
        <f t="shared" si="121"/>
        <v>-4830.05</v>
      </c>
      <c r="T135" s="31"/>
      <c r="U135" s="32">
        <f t="shared" si="122"/>
        <v>3.3989999999999999E-2</v>
      </c>
      <c r="V135" s="31"/>
      <c r="W135" s="76">
        <f>SUM(W133:W134)</f>
        <v>7758.23</v>
      </c>
      <c r="X135" s="76"/>
      <c r="Y135" s="76">
        <f>SUM(Y133:Y134)</f>
        <v>5000</v>
      </c>
      <c r="Z135" s="76"/>
      <c r="AA135" s="76">
        <f t="shared" si="123"/>
        <v>2758.23</v>
      </c>
      <c r="AB135" s="76"/>
      <c r="AC135" s="76"/>
      <c r="AD135" s="77">
        <v>40000</v>
      </c>
      <c r="AE135" s="77"/>
      <c r="AF135" s="39">
        <f>AF133</f>
        <v>30976.31</v>
      </c>
      <c r="AG135" s="40"/>
      <c r="AH135" s="41">
        <f>AH133+AH134</f>
        <v>65000</v>
      </c>
      <c r="AI135" s="41"/>
      <c r="AJ135" s="41">
        <v>28966.48</v>
      </c>
      <c r="AK135" s="41"/>
      <c r="AL135" s="41">
        <f>AL133+AL134</f>
        <v>60000</v>
      </c>
      <c r="AM135" s="41"/>
      <c r="AN135" s="41">
        <f>AN133+AN134</f>
        <v>30827.34</v>
      </c>
      <c r="AO135" s="41"/>
      <c r="AP135" s="41">
        <f>SUM(AP133:AP134)</f>
        <v>21470.14</v>
      </c>
      <c r="AQ135" s="41"/>
      <c r="AR135" s="41">
        <f>SUM(AR133:AR134)</f>
        <v>15000</v>
      </c>
      <c r="AS135" s="41">
        <f t="shared" si="124"/>
        <v>42940.28</v>
      </c>
      <c r="AT135" s="41"/>
      <c r="AU135" s="42"/>
      <c r="AV135" s="79">
        <f>AV133+AV134</f>
        <v>60000</v>
      </c>
      <c r="AW135" s="80"/>
      <c r="AX135" s="81">
        <f t="shared" si="87"/>
        <v>-29172.66</v>
      </c>
      <c r="AY135" s="88"/>
      <c r="AZ135" s="89">
        <v>23769.96</v>
      </c>
      <c r="BA135" s="79"/>
      <c r="BB135" s="79"/>
      <c r="BC135" s="83"/>
      <c r="BD135" s="79">
        <f>SUM(BD133:BD134)</f>
        <v>34980.69</v>
      </c>
      <c r="BE135" s="79"/>
      <c r="BF135" s="79"/>
      <c r="BG135" s="79">
        <f>BG133+BG134</f>
        <v>55000</v>
      </c>
      <c r="BH135" s="79"/>
      <c r="BI135" s="79">
        <f>BI133+BI134</f>
        <v>49371.590000000004</v>
      </c>
      <c r="BJ135" s="79"/>
      <c r="BK135" s="79">
        <f>BK133+BK134</f>
        <v>30600</v>
      </c>
      <c r="BL135" s="79"/>
      <c r="BM135" s="84">
        <f t="shared" si="125"/>
        <v>-24400</v>
      </c>
      <c r="BN135" s="84"/>
      <c r="BO135" s="79">
        <f>BO133+BO134</f>
        <v>18299.22</v>
      </c>
      <c r="BP135" s="79"/>
      <c r="BQ135" s="79">
        <f>BQ133+BQ134</f>
        <v>36503.53</v>
      </c>
      <c r="BR135" s="85"/>
      <c r="BS135" s="85">
        <f t="shared" si="118"/>
        <v>5903.5299999999988</v>
      </c>
      <c r="BT135" s="84"/>
      <c r="BU135" s="79">
        <f>SUM(BU133:BU134)</f>
        <v>32500</v>
      </c>
      <c r="BV135" s="84"/>
      <c r="BW135" s="84">
        <f t="shared" si="65"/>
        <v>1900</v>
      </c>
      <c r="BX135" s="58"/>
      <c r="BY135" s="91"/>
      <c r="BZ135" s="83">
        <f>SUM(BZ133:BZ134)</f>
        <v>13703.85</v>
      </c>
      <c r="CA135" s="83"/>
      <c r="CB135" s="79">
        <f>SUM(CB133:CB134)</f>
        <v>45000</v>
      </c>
      <c r="CC135" s="79"/>
      <c r="CD135" s="79">
        <f>SUM(CD133:CD134)</f>
        <v>7123.82</v>
      </c>
      <c r="CE135" s="79"/>
      <c r="CF135" s="79">
        <f>SUM(CF133:CF134)</f>
        <v>40560</v>
      </c>
      <c r="CG135" s="83"/>
      <c r="CH135" s="112">
        <f t="shared" si="78"/>
        <v>12500</v>
      </c>
      <c r="CI135" s="199"/>
      <c r="CJ135" s="311"/>
    </row>
    <row r="136" spans="1:88" ht="18.75" hidden="1" customHeight="1" x14ac:dyDescent="0.2">
      <c r="A136" s="4"/>
      <c r="B136" s="27"/>
      <c r="C136" s="28"/>
      <c r="D136" s="28" t="s">
        <v>100</v>
      </c>
      <c r="E136" s="29"/>
      <c r="F136" s="28"/>
      <c r="G136" s="30">
        <v>1412.1</v>
      </c>
      <c r="H136" s="31"/>
      <c r="I136" s="30">
        <v>0</v>
      </c>
      <c r="J136" s="31"/>
      <c r="K136" s="30">
        <f t="shared" si="119"/>
        <v>1412.1</v>
      </c>
      <c r="L136" s="31"/>
      <c r="M136" s="32">
        <f t="shared" si="120"/>
        <v>1</v>
      </c>
      <c r="N136" s="31"/>
      <c r="O136" s="30">
        <v>1068.96</v>
      </c>
      <c r="P136" s="31"/>
      <c r="Q136" s="30">
        <v>0</v>
      </c>
      <c r="R136" s="31"/>
      <c r="S136" s="30">
        <f t="shared" si="121"/>
        <v>1068.96</v>
      </c>
      <c r="T136" s="31"/>
      <c r="U136" s="32">
        <f t="shared" si="122"/>
        <v>1</v>
      </c>
      <c r="V136" s="31"/>
      <c r="W136" s="33">
        <v>5034.88</v>
      </c>
      <c r="X136" s="33"/>
      <c r="Y136" s="33">
        <v>0</v>
      </c>
      <c r="Z136" s="33"/>
      <c r="AA136" s="33">
        <f t="shared" si="123"/>
        <v>5034.88</v>
      </c>
      <c r="AB136" s="33"/>
      <c r="AC136" s="33"/>
      <c r="AD136" s="34"/>
      <c r="AE136" s="34"/>
      <c r="AF136" s="49"/>
      <c r="AG136" s="50"/>
      <c r="AH136" s="51"/>
      <c r="AI136" s="51"/>
      <c r="AJ136" s="51"/>
      <c r="AK136" s="51"/>
      <c r="AL136" s="51"/>
      <c r="AM136" s="51"/>
      <c r="AN136" s="51">
        <f t="shared" ref="AN136:AN152" si="126">AP136*4</f>
        <v>30063.759999999998</v>
      </c>
      <c r="AO136" s="51"/>
      <c r="AP136" s="51">
        <f t="shared" ref="AP136:AP152" si="127">ROUND(G136+O136+W136,5)</f>
        <v>7515.94</v>
      </c>
      <c r="AQ136" s="51"/>
      <c r="AR136" s="51">
        <f>ROUND(I136+Q136+Y136,5)</f>
        <v>0</v>
      </c>
      <c r="AS136" s="51">
        <f t="shared" si="124"/>
        <v>15031.88</v>
      </c>
      <c r="AT136" s="51"/>
      <c r="AU136" s="65"/>
      <c r="AV136" s="54"/>
      <c r="AW136" s="55"/>
      <c r="AX136" s="56">
        <f t="shared" si="87"/>
        <v>30063.759999999998</v>
      </c>
      <c r="AY136" s="88"/>
      <c r="AZ136" s="89">
        <v>60983.54</v>
      </c>
      <c r="BA136" s="54"/>
      <c r="BB136" s="54"/>
      <c r="BC136" s="60"/>
      <c r="BD136" s="54">
        <f t="shared" ref="BD136:BD152" si="128">AZ136*2</f>
        <v>121967.08</v>
      </c>
      <c r="BE136" s="54"/>
      <c r="BF136" s="54"/>
      <c r="BG136" s="54"/>
      <c r="BH136" s="54"/>
      <c r="BI136" s="57"/>
      <c r="BJ136" s="54"/>
      <c r="BK136" s="54"/>
      <c r="BL136" s="54"/>
      <c r="BM136" s="58">
        <f t="shared" si="125"/>
        <v>0</v>
      </c>
      <c r="BN136" s="58"/>
      <c r="BO136" s="54"/>
      <c r="BP136" s="54"/>
      <c r="BQ136" s="66">
        <f t="shared" ref="BQ136:BQ195" si="129">BO136*2</f>
        <v>0</v>
      </c>
      <c r="BR136" s="66"/>
      <c r="BS136" s="66">
        <f t="shared" si="118"/>
        <v>0</v>
      </c>
      <c r="BT136" s="58"/>
      <c r="BU136" s="54">
        <f t="shared" ref="BU136:BU152" si="130">BM136-BI136</f>
        <v>0</v>
      </c>
      <c r="BV136" s="58"/>
      <c r="BW136" s="58">
        <f t="shared" si="65"/>
        <v>0</v>
      </c>
      <c r="BX136" s="58"/>
      <c r="BY136" s="91"/>
      <c r="BZ136" s="66">
        <f t="shared" ref="BZ136:BZ152" si="131">BX136*2</f>
        <v>0</v>
      </c>
      <c r="CA136" s="66"/>
      <c r="CB136" s="54">
        <f t="shared" ref="CB136:CB152" si="132">BS136-BO136</f>
        <v>0</v>
      </c>
      <c r="CC136" s="54"/>
      <c r="CD136" s="54">
        <f t="shared" ref="CD136:CD152" si="133">BT136-BP136</f>
        <v>0</v>
      </c>
      <c r="CE136" s="54"/>
      <c r="CF136" s="54">
        <f t="shared" ref="CF136:CF152" si="134">BU136-BQ136</f>
        <v>0</v>
      </c>
      <c r="CG136" s="132"/>
      <c r="CH136" s="200">
        <f t="shared" si="78"/>
        <v>0</v>
      </c>
      <c r="CI136" s="200"/>
      <c r="CJ136" s="312"/>
    </row>
    <row r="137" spans="1:88" ht="18.75" hidden="1" customHeight="1" x14ac:dyDescent="0.2">
      <c r="A137" s="4"/>
      <c r="B137" s="27"/>
      <c r="C137" s="28"/>
      <c r="D137" s="28" t="s">
        <v>101</v>
      </c>
      <c r="E137" s="29"/>
      <c r="F137" s="28"/>
      <c r="G137" s="30">
        <v>320</v>
      </c>
      <c r="H137" s="31"/>
      <c r="I137" s="30">
        <v>0</v>
      </c>
      <c r="J137" s="31"/>
      <c r="K137" s="30">
        <f t="shared" si="119"/>
        <v>320</v>
      </c>
      <c r="L137" s="31"/>
      <c r="M137" s="32">
        <f t="shared" si="120"/>
        <v>1</v>
      </c>
      <c r="N137" s="31"/>
      <c r="O137" s="30">
        <v>300</v>
      </c>
      <c r="P137" s="31"/>
      <c r="Q137" s="30">
        <v>0</v>
      </c>
      <c r="R137" s="31"/>
      <c r="S137" s="30">
        <f t="shared" si="121"/>
        <v>300</v>
      </c>
      <c r="T137" s="31"/>
      <c r="U137" s="32">
        <f t="shared" si="122"/>
        <v>1</v>
      </c>
      <c r="V137" s="31"/>
      <c r="W137" s="33">
        <v>0</v>
      </c>
      <c r="X137" s="33"/>
      <c r="Y137" s="33">
        <v>0</v>
      </c>
      <c r="Z137" s="33"/>
      <c r="AA137" s="33">
        <f t="shared" si="123"/>
        <v>0</v>
      </c>
      <c r="AB137" s="33"/>
      <c r="AC137" s="33"/>
      <c r="AD137" s="34"/>
      <c r="AE137" s="34"/>
      <c r="AF137" s="49"/>
      <c r="AG137" s="50"/>
      <c r="AH137" s="51"/>
      <c r="AI137" s="51"/>
      <c r="AJ137" s="51"/>
      <c r="AK137" s="51"/>
      <c r="AL137" s="51"/>
      <c r="AM137" s="51"/>
      <c r="AN137" s="51">
        <f t="shared" si="126"/>
        <v>2480</v>
      </c>
      <c r="AO137" s="51"/>
      <c r="AP137" s="51">
        <f t="shared" si="127"/>
        <v>620</v>
      </c>
      <c r="AQ137" s="51"/>
      <c r="AR137" s="51">
        <f>ROUND(I137+Q137+Y137,5)</f>
        <v>0</v>
      </c>
      <c r="AS137" s="51">
        <f t="shared" si="124"/>
        <v>1240</v>
      </c>
      <c r="AT137" s="51"/>
      <c r="AU137" s="65"/>
      <c r="AV137" s="54"/>
      <c r="AW137" s="55"/>
      <c r="AX137" s="56">
        <f t="shared" si="87"/>
        <v>2480</v>
      </c>
      <c r="AY137" s="88"/>
      <c r="AZ137" s="89"/>
      <c r="BA137" s="54"/>
      <c r="BB137" s="54"/>
      <c r="BC137" s="60"/>
      <c r="BD137" s="54">
        <f t="shared" si="128"/>
        <v>0</v>
      </c>
      <c r="BE137" s="54"/>
      <c r="BF137" s="54"/>
      <c r="BG137" s="54"/>
      <c r="BH137" s="54"/>
      <c r="BI137" s="54"/>
      <c r="BJ137" s="54"/>
      <c r="BK137" s="54"/>
      <c r="BL137" s="54"/>
      <c r="BM137" s="58">
        <f t="shared" si="125"/>
        <v>0</v>
      </c>
      <c r="BN137" s="58"/>
      <c r="BO137" s="54"/>
      <c r="BP137" s="54"/>
      <c r="BQ137" s="66">
        <f t="shared" si="129"/>
        <v>0</v>
      </c>
      <c r="BR137" s="66"/>
      <c r="BS137" s="66">
        <f t="shared" si="118"/>
        <v>0</v>
      </c>
      <c r="BT137" s="58"/>
      <c r="BU137" s="54">
        <f t="shared" si="130"/>
        <v>0</v>
      </c>
      <c r="BV137" s="58"/>
      <c r="BW137" s="58">
        <f t="shared" si="65"/>
        <v>0</v>
      </c>
      <c r="BX137" s="58"/>
      <c r="BY137" s="91"/>
      <c r="BZ137" s="66">
        <f t="shared" si="131"/>
        <v>0</v>
      </c>
      <c r="CA137" s="66"/>
      <c r="CB137" s="54">
        <f t="shared" si="132"/>
        <v>0</v>
      </c>
      <c r="CC137" s="54"/>
      <c r="CD137" s="54">
        <f t="shared" si="133"/>
        <v>0</v>
      </c>
      <c r="CE137" s="54"/>
      <c r="CF137" s="54">
        <f t="shared" si="134"/>
        <v>0</v>
      </c>
      <c r="CG137" s="132"/>
      <c r="CH137" s="200">
        <f t="shared" si="78"/>
        <v>0</v>
      </c>
      <c r="CI137" s="200"/>
      <c r="CJ137" s="312"/>
    </row>
    <row r="138" spans="1:88" ht="18.75" hidden="1" customHeight="1" x14ac:dyDescent="0.2">
      <c r="A138" s="4"/>
      <c r="B138" s="27"/>
      <c r="C138" s="28"/>
      <c r="D138" s="28" t="s">
        <v>102</v>
      </c>
      <c r="E138" s="29"/>
      <c r="F138" s="28"/>
      <c r="G138" s="30">
        <v>291.27</v>
      </c>
      <c r="H138" s="31"/>
      <c r="I138" s="30">
        <v>0</v>
      </c>
      <c r="J138" s="31"/>
      <c r="K138" s="30">
        <f t="shared" si="119"/>
        <v>291.27</v>
      </c>
      <c r="L138" s="31"/>
      <c r="M138" s="32">
        <f t="shared" si="120"/>
        <v>1</v>
      </c>
      <c r="N138" s="31"/>
      <c r="O138" s="30">
        <v>0</v>
      </c>
      <c r="P138" s="31"/>
      <c r="Q138" s="30">
        <v>0</v>
      </c>
      <c r="R138" s="31"/>
      <c r="S138" s="30">
        <f t="shared" si="121"/>
        <v>0</v>
      </c>
      <c r="T138" s="31"/>
      <c r="U138" s="32">
        <f t="shared" si="122"/>
        <v>0</v>
      </c>
      <c r="V138" s="31"/>
      <c r="W138" s="33">
        <v>190.25</v>
      </c>
      <c r="X138" s="33"/>
      <c r="Y138" s="33">
        <v>0</v>
      </c>
      <c r="Z138" s="33"/>
      <c r="AA138" s="33">
        <f t="shared" si="123"/>
        <v>190.25</v>
      </c>
      <c r="AB138" s="33"/>
      <c r="AC138" s="33"/>
      <c r="AD138" s="34"/>
      <c r="AE138" s="34"/>
      <c r="AF138" s="49"/>
      <c r="AG138" s="50"/>
      <c r="AH138" s="51"/>
      <c r="AI138" s="51"/>
      <c r="AJ138" s="51"/>
      <c r="AK138" s="51"/>
      <c r="AL138" s="51"/>
      <c r="AM138" s="51"/>
      <c r="AN138" s="51">
        <f t="shared" si="126"/>
        <v>1926.08</v>
      </c>
      <c r="AO138" s="51"/>
      <c r="AP138" s="51">
        <f t="shared" si="127"/>
        <v>481.52</v>
      </c>
      <c r="AQ138" s="51"/>
      <c r="AR138" s="51">
        <f>ROUND(I138+Q138+Y138,5)</f>
        <v>0</v>
      </c>
      <c r="AS138" s="51">
        <f t="shared" si="124"/>
        <v>963.04</v>
      </c>
      <c r="AT138" s="51"/>
      <c r="AU138" s="65"/>
      <c r="AV138" s="54"/>
      <c r="AW138" s="55"/>
      <c r="AX138" s="56">
        <f t="shared" si="87"/>
        <v>1926.08</v>
      </c>
      <c r="AY138" s="88"/>
      <c r="AZ138" s="89">
        <v>4932.24</v>
      </c>
      <c r="BA138" s="54"/>
      <c r="BB138" s="54"/>
      <c r="BC138" s="60"/>
      <c r="BD138" s="54">
        <f t="shared" si="128"/>
        <v>9864.48</v>
      </c>
      <c r="BE138" s="54"/>
      <c r="BF138" s="54"/>
      <c r="BG138" s="54"/>
      <c r="BH138" s="54"/>
      <c r="BI138" s="54"/>
      <c r="BJ138" s="54"/>
      <c r="BK138" s="54"/>
      <c r="BL138" s="54"/>
      <c r="BM138" s="58">
        <f t="shared" si="125"/>
        <v>0</v>
      </c>
      <c r="BN138" s="58"/>
      <c r="BO138" s="54"/>
      <c r="BP138" s="54"/>
      <c r="BQ138" s="66">
        <f t="shared" si="129"/>
        <v>0</v>
      </c>
      <c r="BR138" s="66"/>
      <c r="BS138" s="66">
        <f t="shared" si="118"/>
        <v>0</v>
      </c>
      <c r="BT138" s="58"/>
      <c r="BU138" s="54">
        <f t="shared" si="130"/>
        <v>0</v>
      </c>
      <c r="BV138" s="58"/>
      <c r="BW138" s="58">
        <f t="shared" si="65"/>
        <v>0</v>
      </c>
      <c r="BX138" s="58"/>
      <c r="BY138" s="91"/>
      <c r="BZ138" s="66">
        <f t="shared" si="131"/>
        <v>0</v>
      </c>
      <c r="CA138" s="66"/>
      <c r="CB138" s="54">
        <f t="shared" si="132"/>
        <v>0</v>
      </c>
      <c r="CC138" s="54"/>
      <c r="CD138" s="54">
        <f t="shared" si="133"/>
        <v>0</v>
      </c>
      <c r="CE138" s="54"/>
      <c r="CF138" s="54">
        <f t="shared" si="134"/>
        <v>0</v>
      </c>
      <c r="CG138" s="132"/>
      <c r="CH138" s="200">
        <f t="shared" si="78"/>
        <v>0</v>
      </c>
      <c r="CI138" s="200"/>
      <c r="CJ138" s="312"/>
    </row>
    <row r="139" spans="1:88" ht="18.75" hidden="1" customHeight="1" x14ac:dyDescent="0.2">
      <c r="A139" s="4"/>
      <c r="B139" s="27"/>
      <c r="C139" s="28"/>
      <c r="D139" s="28" t="s">
        <v>103</v>
      </c>
      <c r="E139" s="29"/>
      <c r="F139" s="28"/>
      <c r="G139" s="30">
        <v>0</v>
      </c>
      <c r="H139" s="31"/>
      <c r="I139" s="30">
        <v>0</v>
      </c>
      <c r="J139" s="31"/>
      <c r="K139" s="30">
        <f t="shared" si="119"/>
        <v>0</v>
      </c>
      <c r="L139" s="31"/>
      <c r="M139" s="32">
        <f t="shared" si="120"/>
        <v>0</v>
      </c>
      <c r="N139" s="31"/>
      <c r="O139" s="30">
        <v>0</v>
      </c>
      <c r="P139" s="31"/>
      <c r="Q139" s="30">
        <v>0</v>
      </c>
      <c r="R139" s="31"/>
      <c r="S139" s="30">
        <f t="shared" si="121"/>
        <v>0</v>
      </c>
      <c r="T139" s="31"/>
      <c r="U139" s="32">
        <f t="shared" si="122"/>
        <v>0</v>
      </c>
      <c r="V139" s="31"/>
      <c r="W139" s="33">
        <v>105</v>
      </c>
      <c r="X139" s="33"/>
      <c r="Y139" s="33">
        <v>0</v>
      </c>
      <c r="Z139" s="33"/>
      <c r="AA139" s="33">
        <f t="shared" si="123"/>
        <v>105</v>
      </c>
      <c r="AB139" s="33"/>
      <c r="AC139" s="33"/>
      <c r="AD139" s="34"/>
      <c r="AE139" s="34"/>
      <c r="AF139" s="49"/>
      <c r="AG139" s="50"/>
      <c r="AH139" s="51"/>
      <c r="AI139" s="51"/>
      <c r="AJ139" s="51"/>
      <c r="AK139" s="51"/>
      <c r="AL139" s="51"/>
      <c r="AM139" s="51"/>
      <c r="AN139" s="51">
        <f t="shared" si="126"/>
        <v>420</v>
      </c>
      <c r="AO139" s="51"/>
      <c r="AP139" s="51">
        <f t="shared" si="127"/>
        <v>105</v>
      </c>
      <c r="AQ139" s="51"/>
      <c r="AR139" s="51">
        <f>ROUND(I139+Q139+Y139,5)</f>
        <v>0</v>
      </c>
      <c r="AS139" s="51">
        <f t="shared" si="124"/>
        <v>210</v>
      </c>
      <c r="AT139" s="51"/>
      <c r="AU139" s="65"/>
      <c r="AV139" s="54"/>
      <c r="AW139" s="55"/>
      <c r="AX139" s="56">
        <f t="shared" si="87"/>
        <v>420</v>
      </c>
      <c r="AY139" s="88"/>
      <c r="AZ139" s="97">
        <v>14104.44</v>
      </c>
      <c r="BA139" s="54"/>
      <c r="BB139" s="54"/>
      <c r="BC139" s="60"/>
      <c r="BD139" s="54">
        <f t="shared" si="128"/>
        <v>28208.880000000001</v>
      </c>
      <c r="BE139" s="54"/>
      <c r="BF139" s="54"/>
      <c r="BG139" s="54"/>
      <c r="BH139" s="54"/>
      <c r="BI139" s="54"/>
      <c r="BJ139" s="54"/>
      <c r="BK139" s="54"/>
      <c r="BL139" s="54"/>
      <c r="BM139" s="58">
        <f t="shared" si="125"/>
        <v>0</v>
      </c>
      <c r="BN139" s="58"/>
      <c r="BO139" s="54"/>
      <c r="BP139" s="54"/>
      <c r="BQ139" s="66">
        <f t="shared" si="129"/>
        <v>0</v>
      </c>
      <c r="BR139" s="66"/>
      <c r="BS139" s="66">
        <f t="shared" si="118"/>
        <v>0</v>
      </c>
      <c r="BT139" s="58"/>
      <c r="BU139" s="54">
        <f t="shared" si="130"/>
        <v>0</v>
      </c>
      <c r="BV139" s="58"/>
      <c r="BW139" s="58">
        <f t="shared" si="65"/>
        <v>0</v>
      </c>
      <c r="BX139" s="58"/>
      <c r="BY139" s="91"/>
      <c r="BZ139" s="66">
        <f t="shared" si="131"/>
        <v>0</v>
      </c>
      <c r="CA139" s="66"/>
      <c r="CB139" s="54">
        <f t="shared" si="132"/>
        <v>0</v>
      </c>
      <c r="CC139" s="54"/>
      <c r="CD139" s="54">
        <f t="shared" si="133"/>
        <v>0</v>
      </c>
      <c r="CE139" s="54"/>
      <c r="CF139" s="54">
        <f t="shared" si="134"/>
        <v>0</v>
      </c>
      <c r="CG139" s="132"/>
      <c r="CH139" s="200">
        <f t="shared" si="78"/>
        <v>0</v>
      </c>
      <c r="CI139" s="200"/>
      <c r="CJ139" s="312"/>
    </row>
    <row r="140" spans="1:88" ht="18.75" hidden="1" customHeight="1" x14ac:dyDescent="0.2">
      <c r="A140" s="4"/>
      <c r="B140" s="27"/>
      <c r="C140" s="28"/>
      <c r="D140" s="28" t="s">
        <v>104</v>
      </c>
      <c r="E140" s="29"/>
      <c r="F140" s="28"/>
      <c r="G140" s="30">
        <v>119.26</v>
      </c>
      <c r="H140" s="31"/>
      <c r="I140" s="30">
        <v>0</v>
      </c>
      <c r="J140" s="31"/>
      <c r="K140" s="30">
        <f t="shared" si="119"/>
        <v>119.26</v>
      </c>
      <c r="L140" s="31"/>
      <c r="M140" s="32">
        <f t="shared" si="120"/>
        <v>1</v>
      </c>
      <c r="N140" s="31"/>
      <c r="O140" s="30">
        <v>60</v>
      </c>
      <c r="P140" s="31"/>
      <c r="Q140" s="30">
        <v>0</v>
      </c>
      <c r="R140" s="31"/>
      <c r="S140" s="30">
        <f t="shared" si="121"/>
        <v>60</v>
      </c>
      <c r="T140" s="31"/>
      <c r="U140" s="32">
        <f t="shared" si="122"/>
        <v>1</v>
      </c>
      <c r="V140" s="31"/>
      <c r="W140" s="33">
        <v>1246.93</v>
      </c>
      <c r="X140" s="33"/>
      <c r="Y140" s="33">
        <v>0</v>
      </c>
      <c r="Z140" s="33"/>
      <c r="AA140" s="33">
        <f t="shared" si="123"/>
        <v>1246.93</v>
      </c>
      <c r="AB140" s="33"/>
      <c r="AC140" s="33"/>
      <c r="AD140" s="34"/>
      <c r="AE140" s="34"/>
      <c r="AF140" s="49"/>
      <c r="AG140" s="50"/>
      <c r="AH140" s="51"/>
      <c r="AI140" s="51"/>
      <c r="AJ140" s="51"/>
      <c r="AK140" s="51"/>
      <c r="AL140" s="51"/>
      <c r="AM140" s="51"/>
      <c r="AN140" s="51">
        <f t="shared" si="126"/>
        <v>5704.76</v>
      </c>
      <c r="AO140" s="51"/>
      <c r="AP140" s="51">
        <f t="shared" si="127"/>
        <v>1426.19</v>
      </c>
      <c r="AQ140" s="51"/>
      <c r="AR140" s="51">
        <f>ROUND(I140+Q140+Y140,5)</f>
        <v>0</v>
      </c>
      <c r="AS140" s="51">
        <f t="shared" si="124"/>
        <v>2852.38</v>
      </c>
      <c r="AT140" s="51"/>
      <c r="AU140" s="65"/>
      <c r="AV140" s="54"/>
      <c r="AW140" s="55"/>
      <c r="AX140" s="56">
        <f t="shared" si="87"/>
        <v>5704.76</v>
      </c>
      <c r="AY140" s="88"/>
      <c r="AZ140" s="89">
        <v>19036.68</v>
      </c>
      <c r="BA140" s="54"/>
      <c r="BB140" s="54"/>
      <c r="BC140" s="60"/>
      <c r="BD140" s="54">
        <f t="shared" si="128"/>
        <v>38073.360000000001</v>
      </c>
      <c r="BE140" s="54"/>
      <c r="BF140" s="54"/>
      <c r="BG140" s="54"/>
      <c r="BH140" s="54"/>
      <c r="BI140" s="54"/>
      <c r="BJ140" s="54"/>
      <c r="BK140" s="54"/>
      <c r="BL140" s="54"/>
      <c r="BM140" s="58">
        <f t="shared" si="125"/>
        <v>0</v>
      </c>
      <c r="BN140" s="58"/>
      <c r="BO140" s="54"/>
      <c r="BP140" s="54"/>
      <c r="BQ140" s="66">
        <f t="shared" si="129"/>
        <v>0</v>
      </c>
      <c r="BR140" s="66"/>
      <c r="BS140" s="66">
        <f t="shared" si="118"/>
        <v>0</v>
      </c>
      <c r="BT140" s="58"/>
      <c r="BU140" s="54">
        <f t="shared" si="130"/>
        <v>0</v>
      </c>
      <c r="BV140" s="58"/>
      <c r="BW140" s="58">
        <f t="shared" si="65"/>
        <v>0</v>
      </c>
      <c r="BX140" s="58"/>
      <c r="BY140" s="91"/>
      <c r="BZ140" s="66">
        <f t="shared" si="131"/>
        <v>0</v>
      </c>
      <c r="CA140" s="66"/>
      <c r="CB140" s="54">
        <f t="shared" si="132"/>
        <v>0</v>
      </c>
      <c r="CC140" s="54"/>
      <c r="CD140" s="54">
        <f t="shared" si="133"/>
        <v>0</v>
      </c>
      <c r="CE140" s="54"/>
      <c r="CF140" s="54">
        <f t="shared" si="134"/>
        <v>0</v>
      </c>
      <c r="CG140" s="132"/>
      <c r="CH140" s="200">
        <f t="shared" si="78"/>
        <v>0</v>
      </c>
      <c r="CI140" s="200"/>
      <c r="CJ140" s="312"/>
    </row>
    <row r="141" spans="1:88" ht="18.75" hidden="1" customHeight="1" x14ac:dyDescent="0.2">
      <c r="A141" s="4"/>
      <c r="B141" s="27"/>
      <c r="C141" s="28"/>
      <c r="D141" s="28" t="s">
        <v>105</v>
      </c>
      <c r="E141" s="29"/>
      <c r="F141" s="28"/>
      <c r="G141" s="30">
        <v>228.19</v>
      </c>
      <c r="H141" s="31"/>
      <c r="I141" s="30"/>
      <c r="J141" s="31"/>
      <c r="K141" s="30"/>
      <c r="L141" s="31"/>
      <c r="M141" s="32"/>
      <c r="N141" s="31"/>
      <c r="O141" s="30">
        <v>285.57</v>
      </c>
      <c r="P141" s="31"/>
      <c r="Q141" s="30"/>
      <c r="R141" s="31"/>
      <c r="S141" s="30"/>
      <c r="T141" s="31"/>
      <c r="U141" s="32"/>
      <c r="V141" s="31"/>
      <c r="W141" s="33">
        <v>140</v>
      </c>
      <c r="X141" s="33"/>
      <c r="Y141" s="33"/>
      <c r="Z141" s="33"/>
      <c r="AA141" s="33"/>
      <c r="AB141" s="33"/>
      <c r="AC141" s="33"/>
      <c r="AD141" s="34"/>
      <c r="AE141" s="34"/>
      <c r="AF141" s="49"/>
      <c r="AG141" s="50"/>
      <c r="AH141" s="51"/>
      <c r="AI141" s="51"/>
      <c r="AJ141" s="51"/>
      <c r="AK141" s="51"/>
      <c r="AL141" s="51"/>
      <c r="AM141" s="51"/>
      <c r="AN141" s="51">
        <f t="shared" si="126"/>
        <v>2615.04</v>
      </c>
      <c r="AO141" s="51"/>
      <c r="AP141" s="51">
        <f t="shared" si="127"/>
        <v>653.76</v>
      </c>
      <c r="AQ141" s="51"/>
      <c r="AR141" s="51"/>
      <c r="AS141" s="51">
        <f t="shared" si="124"/>
        <v>1307.52</v>
      </c>
      <c r="AT141" s="51"/>
      <c r="AU141" s="65"/>
      <c r="AV141" s="54"/>
      <c r="AW141" s="55"/>
      <c r="AX141" s="56">
        <f t="shared" si="87"/>
        <v>2615.04</v>
      </c>
      <c r="AY141" s="88"/>
      <c r="AZ141" s="89"/>
      <c r="BA141" s="54"/>
      <c r="BB141" s="54"/>
      <c r="BC141" s="60"/>
      <c r="BD141" s="54">
        <f t="shared" si="128"/>
        <v>0</v>
      </c>
      <c r="BE141" s="54"/>
      <c r="BF141" s="54"/>
      <c r="BG141" s="54"/>
      <c r="BH141" s="54"/>
      <c r="BI141" s="54"/>
      <c r="BJ141" s="54"/>
      <c r="BK141" s="54"/>
      <c r="BL141" s="54"/>
      <c r="BM141" s="58">
        <f t="shared" si="125"/>
        <v>0</v>
      </c>
      <c r="BN141" s="58"/>
      <c r="BO141" s="54"/>
      <c r="BP141" s="54"/>
      <c r="BQ141" s="66">
        <f t="shared" si="129"/>
        <v>0</v>
      </c>
      <c r="BR141" s="66"/>
      <c r="BS141" s="66">
        <f t="shared" si="118"/>
        <v>0</v>
      </c>
      <c r="BT141" s="58"/>
      <c r="BU141" s="54">
        <f t="shared" si="130"/>
        <v>0</v>
      </c>
      <c r="BV141" s="58"/>
      <c r="BW141" s="58">
        <f t="shared" si="65"/>
        <v>0</v>
      </c>
      <c r="BX141" s="58"/>
      <c r="BY141" s="91"/>
      <c r="BZ141" s="66">
        <f t="shared" si="131"/>
        <v>0</v>
      </c>
      <c r="CA141" s="66"/>
      <c r="CB141" s="54">
        <f t="shared" si="132"/>
        <v>0</v>
      </c>
      <c r="CC141" s="54"/>
      <c r="CD141" s="54">
        <f t="shared" si="133"/>
        <v>0</v>
      </c>
      <c r="CE141" s="54"/>
      <c r="CF141" s="54">
        <f t="shared" si="134"/>
        <v>0</v>
      </c>
      <c r="CG141" s="132"/>
      <c r="CH141" s="200">
        <f t="shared" si="78"/>
        <v>0</v>
      </c>
      <c r="CI141" s="200"/>
      <c r="CJ141" s="312"/>
    </row>
    <row r="142" spans="1:88" ht="18.75" hidden="1" customHeight="1" x14ac:dyDescent="0.2">
      <c r="A142" s="4"/>
      <c r="B142" s="27"/>
      <c r="C142" s="28"/>
      <c r="D142" s="28" t="s">
        <v>106</v>
      </c>
      <c r="E142" s="29"/>
      <c r="F142" s="28"/>
      <c r="G142" s="30">
        <v>161.16</v>
      </c>
      <c r="H142" s="31"/>
      <c r="I142" s="30">
        <v>0</v>
      </c>
      <c r="J142" s="31"/>
      <c r="K142" s="30">
        <f t="shared" ref="K142:K153" si="135">ROUND((G142-I142),5)</f>
        <v>161.16</v>
      </c>
      <c r="L142" s="31"/>
      <c r="M142" s="32">
        <f t="shared" ref="M142:M153" si="136">ROUND(IF(I142=0, IF(G142=0, 0, 1), G142/I142),5)</f>
        <v>1</v>
      </c>
      <c r="N142" s="31"/>
      <c r="O142" s="30">
        <v>691</v>
      </c>
      <c r="P142" s="31"/>
      <c r="Q142" s="30">
        <v>0</v>
      </c>
      <c r="R142" s="31"/>
      <c r="S142" s="30">
        <f t="shared" ref="S142:S153" si="137">ROUND((O142-Q142),5)</f>
        <v>691</v>
      </c>
      <c r="T142" s="31"/>
      <c r="U142" s="32">
        <f t="shared" ref="U142:U153" si="138">ROUND(IF(Q142=0, IF(O142=0, 0, 1), O142/Q142),5)</f>
        <v>1</v>
      </c>
      <c r="V142" s="31"/>
      <c r="W142" s="33">
        <v>804.2</v>
      </c>
      <c r="X142" s="33"/>
      <c r="Y142" s="33">
        <v>0</v>
      </c>
      <c r="Z142" s="33"/>
      <c r="AA142" s="33">
        <f t="shared" ref="AA142:AA153" si="139">ROUND((W142-Y142),5)</f>
        <v>804.2</v>
      </c>
      <c r="AB142" s="33"/>
      <c r="AC142" s="33"/>
      <c r="AD142" s="34"/>
      <c r="AE142" s="34"/>
      <c r="AF142" s="49"/>
      <c r="AG142" s="50"/>
      <c r="AH142" s="51"/>
      <c r="AI142" s="51"/>
      <c r="AJ142" s="51"/>
      <c r="AK142" s="51"/>
      <c r="AL142" s="51"/>
      <c r="AM142" s="51"/>
      <c r="AN142" s="51">
        <f t="shared" si="126"/>
        <v>6625.44</v>
      </c>
      <c r="AO142" s="51"/>
      <c r="AP142" s="51">
        <f t="shared" si="127"/>
        <v>1656.36</v>
      </c>
      <c r="AQ142" s="51"/>
      <c r="AR142" s="51">
        <f t="shared" ref="AR142:AR153" si="140">ROUND(I142+Q142+Y142,5)</f>
        <v>0</v>
      </c>
      <c r="AS142" s="51">
        <f t="shared" si="124"/>
        <v>3312.72</v>
      </c>
      <c r="AT142" s="51"/>
      <c r="AU142" s="65"/>
      <c r="AV142" s="54"/>
      <c r="AW142" s="55"/>
      <c r="AX142" s="56">
        <f t="shared" si="87"/>
        <v>6625.44</v>
      </c>
      <c r="AY142" s="88"/>
      <c r="AZ142" s="89">
        <v>91672.33</v>
      </c>
      <c r="BA142" s="54"/>
      <c r="BB142" s="54"/>
      <c r="BC142" s="60"/>
      <c r="BD142" s="54">
        <f t="shared" si="128"/>
        <v>183344.66</v>
      </c>
      <c r="BE142" s="54"/>
      <c r="BF142" s="54"/>
      <c r="BG142" s="54"/>
      <c r="BH142" s="54"/>
      <c r="BI142" s="54"/>
      <c r="BJ142" s="54"/>
      <c r="BK142" s="54"/>
      <c r="BL142" s="54"/>
      <c r="BM142" s="58">
        <f t="shared" si="125"/>
        <v>0</v>
      </c>
      <c r="BN142" s="58"/>
      <c r="BO142" s="54"/>
      <c r="BP142" s="54"/>
      <c r="BQ142" s="66">
        <f t="shared" si="129"/>
        <v>0</v>
      </c>
      <c r="BR142" s="66"/>
      <c r="BS142" s="66">
        <f t="shared" si="118"/>
        <v>0</v>
      </c>
      <c r="BT142" s="58"/>
      <c r="BU142" s="54">
        <f t="shared" si="130"/>
        <v>0</v>
      </c>
      <c r="BV142" s="58"/>
      <c r="BW142" s="58">
        <f t="shared" si="65"/>
        <v>0</v>
      </c>
      <c r="BX142" s="58"/>
      <c r="BY142" s="91"/>
      <c r="BZ142" s="66">
        <f t="shared" si="131"/>
        <v>0</v>
      </c>
      <c r="CA142" s="66"/>
      <c r="CB142" s="54">
        <f t="shared" si="132"/>
        <v>0</v>
      </c>
      <c r="CC142" s="54"/>
      <c r="CD142" s="54">
        <f t="shared" si="133"/>
        <v>0</v>
      </c>
      <c r="CE142" s="54"/>
      <c r="CF142" s="54">
        <f t="shared" si="134"/>
        <v>0</v>
      </c>
      <c r="CG142" s="132"/>
      <c r="CH142" s="200">
        <f t="shared" si="78"/>
        <v>0</v>
      </c>
      <c r="CI142" s="200"/>
      <c r="CJ142" s="312"/>
    </row>
    <row r="143" spans="1:88" ht="18.75" hidden="1" customHeight="1" x14ac:dyDescent="0.2">
      <c r="A143" s="4"/>
      <c r="B143" s="27"/>
      <c r="C143" s="28"/>
      <c r="D143" s="28" t="s">
        <v>107</v>
      </c>
      <c r="E143" s="29"/>
      <c r="F143" s="28"/>
      <c r="G143" s="30">
        <v>131.37</v>
      </c>
      <c r="H143" s="31"/>
      <c r="I143" s="30">
        <v>0</v>
      </c>
      <c r="J143" s="31"/>
      <c r="K143" s="30">
        <f t="shared" si="135"/>
        <v>131.37</v>
      </c>
      <c r="L143" s="31"/>
      <c r="M143" s="32">
        <f t="shared" si="136"/>
        <v>1</v>
      </c>
      <c r="N143" s="31"/>
      <c r="O143" s="30">
        <v>0</v>
      </c>
      <c r="P143" s="31"/>
      <c r="Q143" s="30">
        <v>0</v>
      </c>
      <c r="R143" s="31"/>
      <c r="S143" s="30">
        <f t="shared" si="137"/>
        <v>0</v>
      </c>
      <c r="T143" s="31"/>
      <c r="U143" s="32">
        <f t="shared" si="138"/>
        <v>0</v>
      </c>
      <c r="V143" s="31"/>
      <c r="W143" s="33">
        <v>492.5</v>
      </c>
      <c r="X143" s="33"/>
      <c r="Y143" s="33">
        <v>0</v>
      </c>
      <c r="Z143" s="33"/>
      <c r="AA143" s="33">
        <f t="shared" si="139"/>
        <v>492.5</v>
      </c>
      <c r="AB143" s="33"/>
      <c r="AC143" s="33"/>
      <c r="AD143" s="34"/>
      <c r="AE143" s="34"/>
      <c r="AF143" s="49"/>
      <c r="AG143" s="50"/>
      <c r="AH143" s="51"/>
      <c r="AI143" s="51"/>
      <c r="AJ143" s="51"/>
      <c r="AK143" s="51"/>
      <c r="AL143" s="51"/>
      <c r="AM143" s="51"/>
      <c r="AN143" s="51">
        <f t="shared" si="126"/>
        <v>2495.48</v>
      </c>
      <c r="AO143" s="51"/>
      <c r="AP143" s="51">
        <f t="shared" si="127"/>
        <v>623.87</v>
      </c>
      <c r="AQ143" s="51"/>
      <c r="AR143" s="51">
        <f t="shared" si="140"/>
        <v>0</v>
      </c>
      <c r="AS143" s="51">
        <f t="shared" si="124"/>
        <v>1247.74</v>
      </c>
      <c r="AT143" s="51"/>
      <c r="AU143" s="65"/>
      <c r="AV143" s="54"/>
      <c r="AW143" s="55"/>
      <c r="AX143" s="56">
        <f t="shared" si="87"/>
        <v>2495.48</v>
      </c>
      <c r="AY143" s="88"/>
      <c r="AZ143" s="97">
        <v>79.84</v>
      </c>
      <c r="BA143" s="54"/>
      <c r="BB143" s="54"/>
      <c r="BC143" s="60"/>
      <c r="BD143" s="54">
        <f t="shared" si="128"/>
        <v>159.68</v>
      </c>
      <c r="BE143" s="54"/>
      <c r="BF143" s="54"/>
      <c r="BG143" s="54"/>
      <c r="BH143" s="54"/>
      <c r="BI143" s="54"/>
      <c r="BJ143" s="54"/>
      <c r="BK143" s="54"/>
      <c r="BL143" s="54"/>
      <c r="BM143" s="58">
        <f t="shared" si="125"/>
        <v>0</v>
      </c>
      <c r="BN143" s="58"/>
      <c r="BO143" s="54"/>
      <c r="BP143" s="54"/>
      <c r="BQ143" s="66">
        <f t="shared" si="129"/>
        <v>0</v>
      </c>
      <c r="BR143" s="66"/>
      <c r="BS143" s="66">
        <f t="shared" si="118"/>
        <v>0</v>
      </c>
      <c r="BT143" s="58"/>
      <c r="BU143" s="54">
        <f t="shared" si="130"/>
        <v>0</v>
      </c>
      <c r="BV143" s="58"/>
      <c r="BW143" s="58">
        <f t="shared" si="65"/>
        <v>0</v>
      </c>
      <c r="BX143" s="58"/>
      <c r="BY143" s="91"/>
      <c r="BZ143" s="66">
        <f t="shared" si="131"/>
        <v>0</v>
      </c>
      <c r="CA143" s="66"/>
      <c r="CB143" s="54">
        <f t="shared" si="132"/>
        <v>0</v>
      </c>
      <c r="CC143" s="54"/>
      <c r="CD143" s="54">
        <f t="shared" si="133"/>
        <v>0</v>
      </c>
      <c r="CE143" s="54"/>
      <c r="CF143" s="54">
        <f t="shared" si="134"/>
        <v>0</v>
      </c>
      <c r="CG143" s="132"/>
      <c r="CH143" s="200">
        <f t="shared" si="78"/>
        <v>0</v>
      </c>
      <c r="CI143" s="200"/>
      <c r="CJ143" s="312"/>
    </row>
    <row r="144" spans="1:88" ht="18.75" hidden="1" customHeight="1" x14ac:dyDescent="0.2">
      <c r="A144" s="4"/>
      <c r="B144" s="27"/>
      <c r="C144" s="28"/>
      <c r="D144" s="28" t="s">
        <v>108</v>
      </c>
      <c r="E144" s="29"/>
      <c r="F144" s="28"/>
      <c r="G144" s="30">
        <v>0</v>
      </c>
      <c r="H144" s="31"/>
      <c r="I144" s="30">
        <v>0</v>
      </c>
      <c r="J144" s="31"/>
      <c r="K144" s="30">
        <f t="shared" si="135"/>
        <v>0</v>
      </c>
      <c r="L144" s="31"/>
      <c r="M144" s="32">
        <f t="shared" si="136"/>
        <v>0</v>
      </c>
      <c r="N144" s="31"/>
      <c r="O144" s="30">
        <v>72.23</v>
      </c>
      <c r="P144" s="31"/>
      <c r="Q144" s="30">
        <v>0</v>
      </c>
      <c r="R144" s="31"/>
      <c r="S144" s="30">
        <f t="shared" si="137"/>
        <v>72.23</v>
      </c>
      <c r="T144" s="31"/>
      <c r="U144" s="32">
        <f t="shared" si="138"/>
        <v>1</v>
      </c>
      <c r="V144" s="31"/>
      <c r="W144" s="33">
        <v>105</v>
      </c>
      <c r="X144" s="33"/>
      <c r="Y144" s="33">
        <v>0</v>
      </c>
      <c r="Z144" s="33"/>
      <c r="AA144" s="33">
        <f t="shared" si="139"/>
        <v>105</v>
      </c>
      <c r="AB144" s="33"/>
      <c r="AC144" s="33"/>
      <c r="AD144" s="34"/>
      <c r="AE144" s="34"/>
      <c r="AF144" s="49"/>
      <c r="AG144" s="50"/>
      <c r="AH144" s="51"/>
      <c r="AI144" s="51"/>
      <c r="AJ144" s="51"/>
      <c r="AK144" s="51"/>
      <c r="AL144" s="51"/>
      <c r="AM144" s="51"/>
      <c r="AN144" s="51">
        <f t="shared" si="126"/>
        <v>708.92</v>
      </c>
      <c r="AO144" s="51"/>
      <c r="AP144" s="51">
        <f t="shared" si="127"/>
        <v>177.23</v>
      </c>
      <c r="AQ144" s="51"/>
      <c r="AR144" s="51">
        <f t="shared" si="140"/>
        <v>0</v>
      </c>
      <c r="AS144" s="51">
        <f t="shared" si="124"/>
        <v>354.46</v>
      </c>
      <c r="AT144" s="51"/>
      <c r="AU144" s="65"/>
      <c r="AV144" s="54"/>
      <c r="AW144" s="55"/>
      <c r="AX144" s="56">
        <f t="shared" si="87"/>
        <v>708.92</v>
      </c>
      <c r="AY144" s="88"/>
      <c r="AZ144" s="89">
        <v>91752.17</v>
      </c>
      <c r="BA144" s="54"/>
      <c r="BB144" s="54"/>
      <c r="BC144" s="60"/>
      <c r="BD144" s="54">
        <f t="shared" si="128"/>
        <v>183504.34</v>
      </c>
      <c r="BE144" s="54"/>
      <c r="BF144" s="54"/>
      <c r="BG144" s="54"/>
      <c r="BH144" s="54"/>
      <c r="BI144" s="54"/>
      <c r="BJ144" s="54"/>
      <c r="BK144" s="54"/>
      <c r="BL144" s="54"/>
      <c r="BM144" s="58">
        <f t="shared" si="125"/>
        <v>0</v>
      </c>
      <c r="BN144" s="58"/>
      <c r="BO144" s="54"/>
      <c r="BP144" s="54"/>
      <c r="BQ144" s="66">
        <f t="shared" si="129"/>
        <v>0</v>
      </c>
      <c r="BR144" s="66"/>
      <c r="BS144" s="66">
        <f t="shared" si="118"/>
        <v>0</v>
      </c>
      <c r="BT144" s="58"/>
      <c r="BU144" s="54">
        <f t="shared" si="130"/>
        <v>0</v>
      </c>
      <c r="BV144" s="58"/>
      <c r="BW144" s="58">
        <f t="shared" si="65"/>
        <v>0</v>
      </c>
      <c r="BX144" s="58"/>
      <c r="BY144" s="91"/>
      <c r="BZ144" s="66">
        <f t="shared" si="131"/>
        <v>0</v>
      </c>
      <c r="CA144" s="66"/>
      <c r="CB144" s="54">
        <f t="shared" si="132"/>
        <v>0</v>
      </c>
      <c r="CC144" s="54"/>
      <c r="CD144" s="54">
        <f t="shared" si="133"/>
        <v>0</v>
      </c>
      <c r="CE144" s="54"/>
      <c r="CF144" s="54">
        <f t="shared" si="134"/>
        <v>0</v>
      </c>
      <c r="CG144" s="132"/>
      <c r="CH144" s="200">
        <f t="shared" si="78"/>
        <v>0</v>
      </c>
      <c r="CI144" s="200"/>
      <c r="CJ144" s="312"/>
    </row>
    <row r="145" spans="1:88" ht="18.75" hidden="1" customHeight="1" x14ac:dyDescent="0.2">
      <c r="A145" s="4"/>
      <c r="B145" s="27"/>
      <c r="C145" s="28"/>
      <c r="D145" s="28" t="s">
        <v>109</v>
      </c>
      <c r="E145" s="29"/>
      <c r="F145" s="28"/>
      <c r="G145" s="30">
        <v>148</v>
      </c>
      <c r="H145" s="31"/>
      <c r="I145" s="30">
        <v>0</v>
      </c>
      <c r="J145" s="31"/>
      <c r="K145" s="30">
        <f t="shared" si="135"/>
        <v>148</v>
      </c>
      <c r="L145" s="31"/>
      <c r="M145" s="32">
        <f t="shared" si="136"/>
        <v>1</v>
      </c>
      <c r="N145" s="31"/>
      <c r="O145" s="30">
        <v>168.88</v>
      </c>
      <c r="P145" s="31"/>
      <c r="Q145" s="30">
        <v>0</v>
      </c>
      <c r="R145" s="31"/>
      <c r="S145" s="30">
        <f t="shared" si="137"/>
        <v>168.88</v>
      </c>
      <c r="T145" s="31"/>
      <c r="U145" s="32">
        <f t="shared" si="138"/>
        <v>1</v>
      </c>
      <c r="V145" s="31"/>
      <c r="W145" s="33">
        <v>3013.42</v>
      </c>
      <c r="X145" s="33"/>
      <c r="Y145" s="33">
        <v>0</v>
      </c>
      <c r="Z145" s="33"/>
      <c r="AA145" s="33">
        <f t="shared" si="139"/>
        <v>3013.42</v>
      </c>
      <c r="AB145" s="33"/>
      <c r="AC145" s="33"/>
      <c r="AD145" s="34"/>
      <c r="AE145" s="34"/>
      <c r="AF145" s="49"/>
      <c r="AG145" s="50"/>
      <c r="AH145" s="51"/>
      <c r="AI145" s="51"/>
      <c r="AJ145" s="51"/>
      <c r="AK145" s="51"/>
      <c r="AL145" s="51"/>
      <c r="AM145" s="51"/>
      <c r="AN145" s="51">
        <f t="shared" si="126"/>
        <v>13321.2</v>
      </c>
      <c r="AO145" s="51"/>
      <c r="AP145" s="51">
        <f t="shared" si="127"/>
        <v>3330.3</v>
      </c>
      <c r="AQ145" s="51"/>
      <c r="AR145" s="51">
        <f t="shared" si="140"/>
        <v>0</v>
      </c>
      <c r="AS145" s="51">
        <f t="shared" si="124"/>
        <v>6660.6</v>
      </c>
      <c r="AT145" s="51"/>
      <c r="AU145" s="65"/>
      <c r="AV145" s="54"/>
      <c r="AW145" s="55"/>
      <c r="AX145" s="56">
        <f t="shared" si="87"/>
        <v>13321.2</v>
      </c>
      <c r="AY145" s="88"/>
      <c r="AZ145" s="89"/>
      <c r="BA145" s="54"/>
      <c r="BB145" s="54"/>
      <c r="BC145" s="60"/>
      <c r="BD145" s="54">
        <f t="shared" si="128"/>
        <v>0</v>
      </c>
      <c r="BE145" s="54"/>
      <c r="BF145" s="54"/>
      <c r="BG145" s="54"/>
      <c r="BH145" s="54"/>
      <c r="BI145" s="54"/>
      <c r="BJ145" s="54"/>
      <c r="BK145" s="54"/>
      <c r="BL145" s="54"/>
      <c r="BM145" s="58">
        <f t="shared" si="125"/>
        <v>0</v>
      </c>
      <c r="BN145" s="58"/>
      <c r="BO145" s="54"/>
      <c r="BP145" s="54"/>
      <c r="BQ145" s="66">
        <f t="shared" si="129"/>
        <v>0</v>
      </c>
      <c r="BR145" s="66"/>
      <c r="BS145" s="66">
        <f t="shared" si="118"/>
        <v>0</v>
      </c>
      <c r="BT145" s="58"/>
      <c r="BU145" s="54">
        <f t="shared" si="130"/>
        <v>0</v>
      </c>
      <c r="BV145" s="58"/>
      <c r="BW145" s="58">
        <f t="shared" ref="BW145:BW196" si="141">BU145-BK145</f>
        <v>0</v>
      </c>
      <c r="BX145" s="58"/>
      <c r="BY145" s="91"/>
      <c r="BZ145" s="66">
        <f t="shared" si="131"/>
        <v>0</v>
      </c>
      <c r="CA145" s="66"/>
      <c r="CB145" s="54">
        <f t="shared" si="132"/>
        <v>0</v>
      </c>
      <c r="CC145" s="54"/>
      <c r="CD145" s="54">
        <f t="shared" si="133"/>
        <v>0</v>
      </c>
      <c r="CE145" s="54"/>
      <c r="CF145" s="54">
        <f t="shared" si="134"/>
        <v>0</v>
      </c>
      <c r="CG145" s="132"/>
      <c r="CH145" s="200">
        <f t="shared" si="78"/>
        <v>0</v>
      </c>
      <c r="CI145" s="200"/>
      <c r="CJ145" s="312"/>
    </row>
    <row r="146" spans="1:88" ht="18.75" hidden="1" customHeight="1" x14ac:dyDescent="0.2">
      <c r="A146" s="4"/>
      <c r="B146" s="27"/>
      <c r="C146" s="28"/>
      <c r="D146" s="28" t="s">
        <v>110</v>
      </c>
      <c r="E146" s="29"/>
      <c r="F146" s="28"/>
      <c r="G146" s="30">
        <v>18.34</v>
      </c>
      <c r="H146" s="31"/>
      <c r="I146" s="30">
        <v>0</v>
      </c>
      <c r="J146" s="31"/>
      <c r="K146" s="30">
        <f t="shared" si="135"/>
        <v>18.34</v>
      </c>
      <c r="L146" s="31"/>
      <c r="M146" s="32">
        <f t="shared" si="136"/>
        <v>1</v>
      </c>
      <c r="N146" s="31"/>
      <c r="O146" s="30">
        <v>58.81</v>
      </c>
      <c r="P146" s="31"/>
      <c r="Q146" s="30">
        <v>0</v>
      </c>
      <c r="R146" s="31"/>
      <c r="S146" s="30">
        <f t="shared" si="137"/>
        <v>58.81</v>
      </c>
      <c r="T146" s="31"/>
      <c r="U146" s="32">
        <f t="shared" si="138"/>
        <v>1</v>
      </c>
      <c r="V146" s="31"/>
      <c r="W146" s="33">
        <v>543.91</v>
      </c>
      <c r="X146" s="33"/>
      <c r="Y146" s="33">
        <v>0</v>
      </c>
      <c r="Z146" s="33"/>
      <c r="AA146" s="33">
        <f t="shared" si="139"/>
        <v>543.91</v>
      </c>
      <c r="AB146" s="33"/>
      <c r="AC146" s="33"/>
      <c r="AD146" s="34"/>
      <c r="AE146" s="34"/>
      <c r="AF146" s="49"/>
      <c r="AG146" s="50"/>
      <c r="AH146" s="51"/>
      <c r="AI146" s="51"/>
      <c r="AJ146" s="51"/>
      <c r="AK146" s="51"/>
      <c r="AL146" s="51"/>
      <c r="AM146" s="51"/>
      <c r="AN146" s="51">
        <f t="shared" si="126"/>
        <v>2484.2399999999998</v>
      </c>
      <c r="AO146" s="51"/>
      <c r="AP146" s="51">
        <f t="shared" si="127"/>
        <v>621.05999999999995</v>
      </c>
      <c r="AQ146" s="51"/>
      <c r="AR146" s="51">
        <f t="shared" si="140"/>
        <v>0</v>
      </c>
      <c r="AS146" s="51">
        <f t="shared" si="124"/>
        <v>1242.1199999999999</v>
      </c>
      <c r="AT146" s="51"/>
      <c r="AU146" s="65"/>
      <c r="AV146" s="54"/>
      <c r="AW146" s="55"/>
      <c r="AX146" s="56">
        <f t="shared" si="87"/>
        <v>2484.2399999999998</v>
      </c>
      <c r="AY146" s="88"/>
      <c r="AZ146" s="89">
        <v>81957.55</v>
      </c>
      <c r="BA146" s="54"/>
      <c r="BB146" s="54"/>
      <c r="BC146" s="60"/>
      <c r="BD146" s="54">
        <f t="shared" si="128"/>
        <v>163915.1</v>
      </c>
      <c r="BE146" s="54"/>
      <c r="BF146" s="54"/>
      <c r="BG146" s="54"/>
      <c r="BH146" s="54"/>
      <c r="BI146" s="54"/>
      <c r="BJ146" s="54"/>
      <c r="BK146" s="54"/>
      <c r="BL146" s="54"/>
      <c r="BM146" s="58">
        <f t="shared" si="125"/>
        <v>0</v>
      </c>
      <c r="BN146" s="58"/>
      <c r="BO146" s="54"/>
      <c r="BP146" s="54"/>
      <c r="BQ146" s="66">
        <f t="shared" si="129"/>
        <v>0</v>
      </c>
      <c r="BR146" s="66"/>
      <c r="BS146" s="66">
        <f t="shared" si="118"/>
        <v>0</v>
      </c>
      <c r="BT146" s="58"/>
      <c r="BU146" s="54">
        <f t="shared" si="130"/>
        <v>0</v>
      </c>
      <c r="BV146" s="58"/>
      <c r="BW146" s="58">
        <f t="shared" si="141"/>
        <v>0</v>
      </c>
      <c r="BX146" s="58"/>
      <c r="BY146" s="91"/>
      <c r="BZ146" s="66">
        <f t="shared" si="131"/>
        <v>0</v>
      </c>
      <c r="CA146" s="66"/>
      <c r="CB146" s="54">
        <f t="shared" si="132"/>
        <v>0</v>
      </c>
      <c r="CC146" s="54"/>
      <c r="CD146" s="54">
        <f t="shared" si="133"/>
        <v>0</v>
      </c>
      <c r="CE146" s="54"/>
      <c r="CF146" s="54">
        <f t="shared" si="134"/>
        <v>0</v>
      </c>
      <c r="CG146" s="132"/>
      <c r="CH146" s="200">
        <f t="shared" si="78"/>
        <v>0</v>
      </c>
      <c r="CI146" s="200"/>
      <c r="CJ146" s="312"/>
    </row>
    <row r="147" spans="1:88" ht="18.75" hidden="1" customHeight="1" x14ac:dyDescent="0.2">
      <c r="A147" s="4"/>
      <c r="B147" s="27"/>
      <c r="C147" s="28"/>
      <c r="D147" s="28" t="s">
        <v>111</v>
      </c>
      <c r="E147" s="29"/>
      <c r="F147" s="28"/>
      <c r="G147" s="30">
        <v>70</v>
      </c>
      <c r="H147" s="31"/>
      <c r="I147" s="30">
        <v>0</v>
      </c>
      <c r="J147" s="31"/>
      <c r="K147" s="30">
        <f t="shared" si="135"/>
        <v>70</v>
      </c>
      <c r="L147" s="31"/>
      <c r="M147" s="32">
        <f t="shared" si="136"/>
        <v>1</v>
      </c>
      <c r="N147" s="31"/>
      <c r="O147" s="30">
        <v>32.85</v>
      </c>
      <c r="P147" s="31"/>
      <c r="Q147" s="30">
        <v>0</v>
      </c>
      <c r="R147" s="31"/>
      <c r="S147" s="30">
        <f t="shared" si="137"/>
        <v>32.85</v>
      </c>
      <c r="T147" s="31"/>
      <c r="U147" s="32">
        <f t="shared" si="138"/>
        <v>1</v>
      </c>
      <c r="V147" s="31"/>
      <c r="W147" s="33">
        <v>3639.44</v>
      </c>
      <c r="X147" s="33"/>
      <c r="Y147" s="33">
        <v>0</v>
      </c>
      <c r="Z147" s="33"/>
      <c r="AA147" s="33">
        <f t="shared" si="139"/>
        <v>3639.44</v>
      </c>
      <c r="AB147" s="33"/>
      <c r="AC147" s="33"/>
      <c r="AD147" s="34"/>
      <c r="AE147" s="34"/>
      <c r="AF147" s="49"/>
      <c r="AG147" s="50"/>
      <c r="AH147" s="51"/>
      <c r="AI147" s="51"/>
      <c r="AJ147" s="51"/>
      <c r="AK147" s="51"/>
      <c r="AL147" s="51"/>
      <c r="AM147" s="51"/>
      <c r="AN147" s="51">
        <f t="shared" si="126"/>
        <v>14969.16</v>
      </c>
      <c r="AO147" s="51"/>
      <c r="AP147" s="51">
        <f t="shared" si="127"/>
        <v>3742.29</v>
      </c>
      <c r="AQ147" s="51"/>
      <c r="AR147" s="51">
        <f t="shared" si="140"/>
        <v>0</v>
      </c>
      <c r="AS147" s="51">
        <f t="shared" si="124"/>
        <v>7484.58</v>
      </c>
      <c r="AT147" s="51"/>
      <c r="AU147" s="65"/>
      <c r="AV147" s="54"/>
      <c r="AW147" s="55"/>
      <c r="AX147" s="56">
        <f t="shared" si="87"/>
        <v>14969.16</v>
      </c>
      <c r="AY147" s="88"/>
      <c r="AZ147" s="97">
        <v>54363.12</v>
      </c>
      <c r="BA147" s="54"/>
      <c r="BB147" s="54"/>
      <c r="BC147" s="60"/>
      <c r="BD147" s="54">
        <f t="shared" si="128"/>
        <v>108726.24</v>
      </c>
      <c r="BE147" s="54"/>
      <c r="BF147" s="54"/>
      <c r="BG147" s="54"/>
      <c r="BH147" s="54"/>
      <c r="BI147" s="54"/>
      <c r="BJ147" s="54"/>
      <c r="BK147" s="54"/>
      <c r="BL147" s="54"/>
      <c r="BM147" s="58">
        <f t="shared" si="125"/>
        <v>0</v>
      </c>
      <c r="BN147" s="58"/>
      <c r="BO147" s="54"/>
      <c r="BP147" s="54"/>
      <c r="BQ147" s="66">
        <f t="shared" si="129"/>
        <v>0</v>
      </c>
      <c r="BR147" s="66"/>
      <c r="BS147" s="66">
        <f t="shared" si="118"/>
        <v>0</v>
      </c>
      <c r="BT147" s="58"/>
      <c r="BU147" s="54">
        <f t="shared" si="130"/>
        <v>0</v>
      </c>
      <c r="BV147" s="58"/>
      <c r="BW147" s="58">
        <f t="shared" si="141"/>
        <v>0</v>
      </c>
      <c r="BX147" s="58"/>
      <c r="BY147" s="91"/>
      <c r="BZ147" s="66">
        <f t="shared" si="131"/>
        <v>0</v>
      </c>
      <c r="CA147" s="66"/>
      <c r="CB147" s="54">
        <f t="shared" si="132"/>
        <v>0</v>
      </c>
      <c r="CC147" s="54"/>
      <c r="CD147" s="54">
        <f t="shared" si="133"/>
        <v>0</v>
      </c>
      <c r="CE147" s="54"/>
      <c r="CF147" s="54">
        <f t="shared" si="134"/>
        <v>0</v>
      </c>
      <c r="CG147" s="132"/>
      <c r="CH147" s="200">
        <f t="shared" si="78"/>
        <v>0</v>
      </c>
      <c r="CI147" s="200"/>
      <c r="CJ147" s="312"/>
    </row>
    <row r="148" spans="1:88" ht="18.75" hidden="1" customHeight="1" x14ac:dyDescent="0.2">
      <c r="A148" s="4"/>
      <c r="B148" s="27"/>
      <c r="C148" s="28"/>
      <c r="D148" s="28" t="s">
        <v>112</v>
      </c>
      <c r="E148" s="29"/>
      <c r="F148" s="28"/>
      <c r="G148" s="30">
        <v>445.98</v>
      </c>
      <c r="H148" s="31"/>
      <c r="I148" s="30">
        <v>0</v>
      </c>
      <c r="J148" s="31"/>
      <c r="K148" s="30">
        <f t="shared" si="135"/>
        <v>445.98</v>
      </c>
      <c r="L148" s="31"/>
      <c r="M148" s="32">
        <f t="shared" si="136"/>
        <v>1</v>
      </c>
      <c r="N148" s="31"/>
      <c r="O148" s="30">
        <v>37.92</v>
      </c>
      <c r="P148" s="31"/>
      <c r="Q148" s="30">
        <v>0</v>
      </c>
      <c r="R148" s="31"/>
      <c r="S148" s="30">
        <f t="shared" si="137"/>
        <v>37.92</v>
      </c>
      <c r="T148" s="31"/>
      <c r="U148" s="32">
        <f t="shared" si="138"/>
        <v>1</v>
      </c>
      <c r="V148" s="31"/>
      <c r="W148" s="33">
        <v>1112.07</v>
      </c>
      <c r="X148" s="33"/>
      <c r="Y148" s="33">
        <v>0</v>
      </c>
      <c r="Z148" s="33"/>
      <c r="AA148" s="33">
        <f t="shared" si="139"/>
        <v>1112.07</v>
      </c>
      <c r="AB148" s="33"/>
      <c r="AC148" s="33"/>
      <c r="AD148" s="34"/>
      <c r="AE148" s="34"/>
      <c r="AF148" s="49"/>
      <c r="AG148" s="50"/>
      <c r="AH148" s="51"/>
      <c r="AI148" s="51"/>
      <c r="AJ148" s="51"/>
      <c r="AK148" s="51"/>
      <c r="AL148" s="51"/>
      <c r="AM148" s="51"/>
      <c r="AN148" s="51">
        <f t="shared" si="126"/>
        <v>6383.88</v>
      </c>
      <c r="AO148" s="51"/>
      <c r="AP148" s="51">
        <f t="shared" si="127"/>
        <v>1595.97</v>
      </c>
      <c r="AQ148" s="51"/>
      <c r="AR148" s="51">
        <f t="shared" si="140"/>
        <v>0</v>
      </c>
      <c r="AS148" s="51">
        <f t="shared" si="124"/>
        <v>3191.94</v>
      </c>
      <c r="AT148" s="51"/>
      <c r="AU148" s="65"/>
      <c r="AV148" s="54"/>
      <c r="AW148" s="55"/>
      <c r="AX148" s="56">
        <f t="shared" si="87"/>
        <v>6383.88</v>
      </c>
      <c r="AY148" s="88"/>
      <c r="AZ148" s="89">
        <v>136320.67000000001</v>
      </c>
      <c r="BA148" s="54"/>
      <c r="BB148" s="54"/>
      <c r="BC148" s="60"/>
      <c r="BD148" s="54">
        <f t="shared" si="128"/>
        <v>272641.34000000003</v>
      </c>
      <c r="BE148" s="54"/>
      <c r="BF148" s="54"/>
      <c r="BG148" s="54"/>
      <c r="BH148" s="54"/>
      <c r="BI148" s="54"/>
      <c r="BJ148" s="54"/>
      <c r="BK148" s="54"/>
      <c r="BL148" s="54"/>
      <c r="BM148" s="58">
        <f t="shared" si="125"/>
        <v>0</v>
      </c>
      <c r="BN148" s="58"/>
      <c r="BO148" s="54"/>
      <c r="BP148" s="54"/>
      <c r="BQ148" s="66">
        <f t="shared" si="129"/>
        <v>0</v>
      </c>
      <c r="BR148" s="66"/>
      <c r="BS148" s="66">
        <f t="shared" si="118"/>
        <v>0</v>
      </c>
      <c r="BT148" s="58"/>
      <c r="BU148" s="54">
        <f t="shared" si="130"/>
        <v>0</v>
      </c>
      <c r="BV148" s="58"/>
      <c r="BW148" s="58">
        <f t="shared" si="141"/>
        <v>0</v>
      </c>
      <c r="BX148" s="58"/>
      <c r="BY148" s="91"/>
      <c r="BZ148" s="66">
        <f t="shared" si="131"/>
        <v>0</v>
      </c>
      <c r="CA148" s="66"/>
      <c r="CB148" s="54">
        <f t="shared" si="132"/>
        <v>0</v>
      </c>
      <c r="CC148" s="54"/>
      <c r="CD148" s="54">
        <f t="shared" si="133"/>
        <v>0</v>
      </c>
      <c r="CE148" s="54"/>
      <c r="CF148" s="54">
        <f t="shared" si="134"/>
        <v>0</v>
      </c>
      <c r="CG148" s="132"/>
      <c r="CH148" s="200">
        <f t="shared" si="78"/>
        <v>0</v>
      </c>
      <c r="CI148" s="200"/>
      <c r="CJ148" s="312"/>
    </row>
    <row r="149" spans="1:88" ht="18.75" hidden="1" customHeight="1" x14ac:dyDescent="0.2">
      <c r="A149" s="4"/>
      <c r="B149" s="27"/>
      <c r="C149" s="28"/>
      <c r="D149" s="28" t="s">
        <v>113</v>
      </c>
      <c r="E149" s="29"/>
      <c r="F149" s="28"/>
      <c r="G149" s="30">
        <v>0</v>
      </c>
      <c r="H149" s="31"/>
      <c r="I149" s="30">
        <v>0</v>
      </c>
      <c r="J149" s="31"/>
      <c r="K149" s="30">
        <f t="shared" si="135"/>
        <v>0</v>
      </c>
      <c r="L149" s="31"/>
      <c r="M149" s="32">
        <f t="shared" si="136"/>
        <v>0</v>
      </c>
      <c r="N149" s="31"/>
      <c r="O149" s="30">
        <v>71.989999999999995</v>
      </c>
      <c r="P149" s="31"/>
      <c r="Q149" s="30">
        <v>0</v>
      </c>
      <c r="R149" s="31"/>
      <c r="S149" s="30">
        <f t="shared" si="137"/>
        <v>71.989999999999995</v>
      </c>
      <c r="T149" s="31"/>
      <c r="U149" s="32">
        <f t="shared" si="138"/>
        <v>1</v>
      </c>
      <c r="V149" s="31"/>
      <c r="W149" s="33">
        <v>1737.55</v>
      </c>
      <c r="X149" s="33"/>
      <c r="Y149" s="33">
        <v>0</v>
      </c>
      <c r="Z149" s="33"/>
      <c r="AA149" s="33">
        <f t="shared" si="139"/>
        <v>1737.55</v>
      </c>
      <c r="AB149" s="33"/>
      <c r="AC149" s="33"/>
      <c r="AD149" s="34"/>
      <c r="AE149" s="34"/>
      <c r="AF149" s="49"/>
      <c r="AG149" s="50"/>
      <c r="AH149" s="51"/>
      <c r="AI149" s="51"/>
      <c r="AJ149" s="51"/>
      <c r="AK149" s="51"/>
      <c r="AL149" s="51"/>
      <c r="AM149" s="51"/>
      <c r="AN149" s="51">
        <f t="shared" si="126"/>
        <v>7238.16</v>
      </c>
      <c r="AO149" s="51"/>
      <c r="AP149" s="51">
        <f t="shared" si="127"/>
        <v>1809.54</v>
      </c>
      <c r="AQ149" s="51"/>
      <c r="AR149" s="51">
        <f t="shared" si="140"/>
        <v>0</v>
      </c>
      <c r="AS149" s="51">
        <f t="shared" si="124"/>
        <v>3619.08</v>
      </c>
      <c r="AT149" s="51"/>
      <c r="AU149" s="65"/>
      <c r="AV149" s="54"/>
      <c r="AW149" s="55"/>
      <c r="AX149" s="56">
        <f t="shared" si="87"/>
        <v>7238.16</v>
      </c>
      <c r="AY149" s="88"/>
      <c r="AZ149" s="89">
        <v>180.67</v>
      </c>
      <c r="BA149" s="54"/>
      <c r="BB149" s="54"/>
      <c r="BC149" s="60"/>
      <c r="BD149" s="54">
        <f t="shared" si="128"/>
        <v>361.34</v>
      </c>
      <c r="BE149" s="54"/>
      <c r="BF149" s="54"/>
      <c r="BG149" s="54"/>
      <c r="BH149" s="54"/>
      <c r="BI149" s="54"/>
      <c r="BJ149" s="54"/>
      <c r="BK149" s="54"/>
      <c r="BL149" s="54"/>
      <c r="BM149" s="58">
        <f t="shared" si="125"/>
        <v>0</v>
      </c>
      <c r="BN149" s="58"/>
      <c r="BO149" s="54"/>
      <c r="BP149" s="54"/>
      <c r="BQ149" s="66">
        <f t="shared" si="129"/>
        <v>0</v>
      </c>
      <c r="BR149" s="66"/>
      <c r="BS149" s="66">
        <f t="shared" si="118"/>
        <v>0</v>
      </c>
      <c r="BT149" s="58"/>
      <c r="BU149" s="54">
        <f t="shared" si="130"/>
        <v>0</v>
      </c>
      <c r="BV149" s="58"/>
      <c r="BW149" s="58">
        <f t="shared" si="141"/>
        <v>0</v>
      </c>
      <c r="BX149" s="58"/>
      <c r="BY149" s="91"/>
      <c r="BZ149" s="66">
        <f t="shared" si="131"/>
        <v>0</v>
      </c>
      <c r="CA149" s="66"/>
      <c r="CB149" s="54">
        <f t="shared" si="132"/>
        <v>0</v>
      </c>
      <c r="CC149" s="54"/>
      <c r="CD149" s="54">
        <f t="shared" si="133"/>
        <v>0</v>
      </c>
      <c r="CE149" s="54"/>
      <c r="CF149" s="54">
        <f t="shared" si="134"/>
        <v>0</v>
      </c>
      <c r="CG149" s="132"/>
      <c r="CH149" s="200">
        <f t="shared" si="78"/>
        <v>0</v>
      </c>
      <c r="CI149" s="200"/>
      <c r="CJ149" s="312"/>
    </row>
    <row r="150" spans="1:88" ht="18.75" hidden="1" customHeight="1" x14ac:dyDescent="0.2">
      <c r="A150" s="4"/>
      <c r="B150" s="27"/>
      <c r="C150" s="28"/>
      <c r="D150" s="28" t="s">
        <v>114</v>
      </c>
      <c r="E150" s="29"/>
      <c r="F150" s="28"/>
      <c r="G150" s="30">
        <v>5.27</v>
      </c>
      <c r="H150" s="31"/>
      <c r="I150" s="30">
        <v>0</v>
      </c>
      <c r="J150" s="31"/>
      <c r="K150" s="30">
        <f t="shared" si="135"/>
        <v>5.27</v>
      </c>
      <c r="L150" s="31"/>
      <c r="M150" s="32">
        <f t="shared" si="136"/>
        <v>1</v>
      </c>
      <c r="N150" s="31"/>
      <c r="O150" s="30">
        <v>0</v>
      </c>
      <c r="P150" s="31"/>
      <c r="Q150" s="30">
        <v>0</v>
      </c>
      <c r="R150" s="31"/>
      <c r="S150" s="30">
        <f t="shared" si="137"/>
        <v>0</v>
      </c>
      <c r="T150" s="31"/>
      <c r="U150" s="32">
        <f t="shared" si="138"/>
        <v>0</v>
      </c>
      <c r="V150" s="31"/>
      <c r="W150" s="33">
        <v>272.99</v>
      </c>
      <c r="X150" s="33"/>
      <c r="Y150" s="33">
        <v>0</v>
      </c>
      <c r="Z150" s="33"/>
      <c r="AA150" s="33">
        <f t="shared" si="139"/>
        <v>272.99</v>
      </c>
      <c r="AB150" s="33"/>
      <c r="AC150" s="33"/>
      <c r="AD150" s="34"/>
      <c r="AE150" s="34"/>
      <c r="AF150" s="49"/>
      <c r="AG150" s="50"/>
      <c r="AH150" s="51"/>
      <c r="AI150" s="51"/>
      <c r="AJ150" s="51"/>
      <c r="AK150" s="51"/>
      <c r="AL150" s="51"/>
      <c r="AM150" s="51"/>
      <c r="AN150" s="51">
        <f t="shared" si="126"/>
        <v>1113.04</v>
      </c>
      <c r="AO150" s="51"/>
      <c r="AP150" s="51">
        <f t="shared" si="127"/>
        <v>278.26</v>
      </c>
      <c r="AQ150" s="51"/>
      <c r="AR150" s="51">
        <f t="shared" si="140"/>
        <v>0</v>
      </c>
      <c r="AS150" s="51">
        <f t="shared" si="124"/>
        <v>556.52</v>
      </c>
      <c r="AT150" s="51"/>
      <c r="AU150" s="65"/>
      <c r="AV150" s="54"/>
      <c r="AW150" s="55"/>
      <c r="AX150" s="56">
        <f t="shared" si="87"/>
        <v>1113.04</v>
      </c>
      <c r="AY150" s="88"/>
      <c r="AZ150" s="89">
        <v>0</v>
      </c>
      <c r="BA150" s="54"/>
      <c r="BB150" s="54"/>
      <c r="BC150" s="60"/>
      <c r="BD150" s="54">
        <f t="shared" si="128"/>
        <v>0</v>
      </c>
      <c r="BE150" s="54"/>
      <c r="BF150" s="54"/>
      <c r="BG150" s="54"/>
      <c r="BH150" s="54"/>
      <c r="BI150" s="54"/>
      <c r="BJ150" s="54"/>
      <c r="BK150" s="54"/>
      <c r="BL150" s="54"/>
      <c r="BM150" s="58">
        <f t="shared" si="125"/>
        <v>0</v>
      </c>
      <c r="BN150" s="58"/>
      <c r="BO150" s="54"/>
      <c r="BP150" s="54"/>
      <c r="BQ150" s="66">
        <f t="shared" si="129"/>
        <v>0</v>
      </c>
      <c r="BR150" s="66"/>
      <c r="BS150" s="66">
        <f t="shared" si="118"/>
        <v>0</v>
      </c>
      <c r="BT150" s="58"/>
      <c r="BU150" s="54">
        <f t="shared" si="130"/>
        <v>0</v>
      </c>
      <c r="BV150" s="58"/>
      <c r="BW150" s="58">
        <f t="shared" si="141"/>
        <v>0</v>
      </c>
      <c r="BX150" s="58"/>
      <c r="BY150" s="91"/>
      <c r="BZ150" s="66">
        <f t="shared" si="131"/>
        <v>0</v>
      </c>
      <c r="CA150" s="66"/>
      <c r="CB150" s="54">
        <f t="shared" si="132"/>
        <v>0</v>
      </c>
      <c r="CC150" s="54"/>
      <c r="CD150" s="54">
        <f t="shared" si="133"/>
        <v>0</v>
      </c>
      <c r="CE150" s="54"/>
      <c r="CF150" s="54">
        <f t="shared" si="134"/>
        <v>0</v>
      </c>
      <c r="CG150" s="132"/>
      <c r="CH150" s="200">
        <f t="shared" si="78"/>
        <v>0</v>
      </c>
      <c r="CI150" s="200"/>
      <c r="CJ150" s="312"/>
    </row>
    <row r="151" spans="1:88" ht="18.75" hidden="1" customHeight="1" x14ac:dyDescent="0.2">
      <c r="A151" s="4"/>
      <c r="B151" s="27"/>
      <c r="C151" s="28"/>
      <c r="D151" s="28" t="s">
        <v>115</v>
      </c>
      <c r="E151" s="29"/>
      <c r="F151" s="28"/>
      <c r="G151" s="30">
        <v>483.44</v>
      </c>
      <c r="H151" s="31"/>
      <c r="I151" s="30">
        <v>0</v>
      </c>
      <c r="J151" s="31"/>
      <c r="K151" s="30">
        <f t="shared" si="135"/>
        <v>483.44</v>
      </c>
      <c r="L151" s="31"/>
      <c r="M151" s="32">
        <f t="shared" si="136"/>
        <v>1</v>
      </c>
      <c r="N151" s="31"/>
      <c r="O151" s="30">
        <v>0</v>
      </c>
      <c r="P151" s="31"/>
      <c r="Q151" s="30">
        <v>0</v>
      </c>
      <c r="R151" s="31"/>
      <c r="S151" s="30">
        <f t="shared" si="137"/>
        <v>0</v>
      </c>
      <c r="T151" s="31"/>
      <c r="U151" s="32">
        <f t="shared" si="138"/>
        <v>0</v>
      </c>
      <c r="V151" s="31"/>
      <c r="W151" s="33">
        <v>140</v>
      </c>
      <c r="X151" s="33"/>
      <c r="Y151" s="33">
        <v>0</v>
      </c>
      <c r="Z151" s="33"/>
      <c r="AA151" s="33">
        <f t="shared" si="139"/>
        <v>140</v>
      </c>
      <c r="AB151" s="33"/>
      <c r="AC151" s="33"/>
      <c r="AD151" s="34"/>
      <c r="AE151" s="34"/>
      <c r="AF151" s="49"/>
      <c r="AG151" s="50"/>
      <c r="AH151" s="51"/>
      <c r="AI151" s="51"/>
      <c r="AJ151" s="51"/>
      <c r="AK151" s="51"/>
      <c r="AL151" s="51"/>
      <c r="AM151" s="51"/>
      <c r="AN151" s="51">
        <f t="shared" si="126"/>
        <v>2493.7600000000002</v>
      </c>
      <c r="AO151" s="51"/>
      <c r="AP151" s="51">
        <f t="shared" si="127"/>
        <v>623.44000000000005</v>
      </c>
      <c r="AQ151" s="51"/>
      <c r="AR151" s="51">
        <f t="shared" si="140"/>
        <v>0</v>
      </c>
      <c r="AS151" s="51">
        <f t="shared" si="124"/>
        <v>1246.8800000000001</v>
      </c>
      <c r="AT151" s="51"/>
      <c r="AU151" s="65"/>
      <c r="AV151" s="54"/>
      <c r="AW151" s="55"/>
      <c r="AX151" s="56">
        <f t="shared" si="87"/>
        <v>2493.7600000000002</v>
      </c>
      <c r="AY151" s="88"/>
      <c r="AZ151" s="89"/>
      <c r="BA151" s="54"/>
      <c r="BB151" s="54"/>
      <c r="BC151" s="60"/>
      <c r="BD151" s="54">
        <f t="shared" si="128"/>
        <v>0</v>
      </c>
      <c r="BE151" s="54"/>
      <c r="BF151" s="54"/>
      <c r="BG151" s="54"/>
      <c r="BH151" s="54"/>
      <c r="BI151" s="54"/>
      <c r="BJ151" s="54"/>
      <c r="BK151" s="54"/>
      <c r="BL151" s="54"/>
      <c r="BM151" s="58">
        <f t="shared" si="125"/>
        <v>0</v>
      </c>
      <c r="BN151" s="58"/>
      <c r="BO151" s="54"/>
      <c r="BP151" s="54"/>
      <c r="BQ151" s="66">
        <f t="shared" si="129"/>
        <v>0</v>
      </c>
      <c r="BR151" s="66"/>
      <c r="BS151" s="66">
        <f t="shared" si="118"/>
        <v>0</v>
      </c>
      <c r="BT151" s="58"/>
      <c r="BU151" s="54">
        <f t="shared" si="130"/>
        <v>0</v>
      </c>
      <c r="BV151" s="58"/>
      <c r="BW151" s="58">
        <f t="shared" si="141"/>
        <v>0</v>
      </c>
      <c r="BX151" s="58"/>
      <c r="BY151" s="91"/>
      <c r="BZ151" s="66">
        <f t="shared" si="131"/>
        <v>0</v>
      </c>
      <c r="CA151" s="66"/>
      <c r="CB151" s="54">
        <f t="shared" si="132"/>
        <v>0</v>
      </c>
      <c r="CC151" s="54"/>
      <c r="CD151" s="54">
        <f t="shared" si="133"/>
        <v>0</v>
      </c>
      <c r="CE151" s="54"/>
      <c r="CF151" s="54">
        <f t="shared" si="134"/>
        <v>0</v>
      </c>
      <c r="CG151" s="132"/>
      <c r="CH151" s="200">
        <f t="shared" si="78"/>
        <v>0</v>
      </c>
      <c r="CI151" s="200"/>
      <c r="CJ151" s="312"/>
    </row>
    <row r="152" spans="1:88" ht="18.75" hidden="1" customHeight="1" thickBot="1" x14ac:dyDescent="0.25">
      <c r="A152" s="4"/>
      <c r="B152" s="27"/>
      <c r="C152" s="28"/>
      <c r="D152" s="28" t="s">
        <v>116</v>
      </c>
      <c r="E152" s="29"/>
      <c r="F152" s="28"/>
      <c r="G152" s="68">
        <v>544.5</v>
      </c>
      <c r="H152" s="31"/>
      <c r="I152" s="68">
        <v>8333.3700000000008</v>
      </c>
      <c r="J152" s="31"/>
      <c r="K152" s="68">
        <f t="shared" si="135"/>
        <v>-7788.87</v>
      </c>
      <c r="L152" s="31"/>
      <c r="M152" s="69">
        <f t="shared" si="136"/>
        <v>6.5339999999999995E-2</v>
      </c>
      <c r="N152" s="31"/>
      <c r="O152" s="68">
        <v>1231.6099999999999</v>
      </c>
      <c r="P152" s="31"/>
      <c r="Q152" s="68">
        <v>8333.33</v>
      </c>
      <c r="R152" s="31"/>
      <c r="S152" s="68">
        <f t="shared" si="137"/>
        <v>-7101.72</v>
      </c>
      <c r="T152" s="31"/>
      <c r="U152" s="69">
        <f t="shared" si="138"/>
        <v>0.14779</v>
      </c>
      <c r="V152" s="31"/>
      <c r="W152" s="70">
        <v>1246.82</v>
      </c>
      <c r="X152" s="33"/>
      <c r="Y152" s="70">
        <v>8333.33</v>
      </c>
      <c r="Z152" s="33"/>
      <c r="AA152" s="70">
        <f t="shared" si="139"/>
        <v>-7086.51</v>
      </c>
      <c r="AB152" s="33"/>
      <c r="AC152" s="33"/>
      <c r="AD152" s="34"/>
      <c r="AE152" s="34"/>
      <c r="AF152" s="49"/>
      <c r="AG152" s="50"/>
      <c r="AH152" s="51"/>
      <c r="AI152" s="51"/>
      <c r="AJ152" s="51"/>
      <c r="AK152" s="51"/>
      <c r="AL152" s="51"/>
      <c r="AM152" s="51"/>
      <c r="AN152" s="51">
        <f t="shared" si="126"/>
        <v>12091.72</v>
      </c>
      <c r="AO152" s="51"/>
      <c r="AP152" s="51">
        <f t="shared" si="127"/>
        <v>3022.93</v>
      </c>
      <c r="AQ152" s="51"/>
      <c r="AR152" s="51">
        <f t="shared" si="140"/>
        <v>25000.03</v>
      </c>
      <c r="AS152" s="51">
        <f t="shared" si="124"/>
        <v>6045.86</v>
      </c>
      <c r="AT152" s="51"/>
      <c r="AU152" s="65"/>
      <c r="AV152" s="54"/>
      <c r="AW152" s="55"/>
      <c r="AX152" s="56">
        <f t="shared" si="87"/>
        <v>12091.72</v>
      </c>
      <c r="AY152" s="88"/>
      <c r="AZ152" s="89">
        <v>7259.05</v>
      </c>
      <c r="BA152" s="54"/>
      <c r="BB152" s="54"/>
      <c r="BC152" s="60"/>
      <c r="BD152" s="54">
        <f t="shared" si="128"/>
        <v>14518.1</v>
      </c>
      <c r="BE152" s="54"/>
      <c r="BF152" s="54"/>
      <c r="BG152" s="54"/>
      <c r="BH152" s="54"/>
      <c r="BI152" s="54"/>
      <c r="BJ152" s="54"/>
      <c r="BK152" s="54"/>
      <c r="BL152" s="54"/>
      <c r="BM152" s="58">
        <f t="shared" si="125"/>
        <v>0</v>
      </c>
      <c r="BN152" s="58"/>
      <c r="BO152" s="54"/>
      <c r="BP152" s="54"/>
      <c r="BQ152" s="66">
        <f t="shared" si="129"/>
        <v>0</v>
      </c>
      <c r="BR152" s="66"/>
      <c r="BS152" s="66">
        <f t="shared" si="118"/>
        <v>0</v>
      </c>
      <c r="BT152" s="58"/>
      <c r="BU152" s="54">
        <f t="shared" si="130"/>
        <v>0</v>
      </c>
      <c r="BV152" s="58"/>
      <c r="BW152" s="58">
        <f t="shared" si="141"/>
        <v>0</v>
      </c>
      <c r="BX152" s="58"/>
      <c r="BY152" s="91"/>
      <c r="BZ152" s="221">
        <f t="shared" si="131"/>
        <v>0</v>
      </c>
      <c r="CA152" s="221"/>
      <c r="CB152" s="222">
        <f t="shared" si="132"/>
        <v>0</v>
      </c>
      <c r="CC152" s="222"/>
      <c r="CD152" s="222">
        <f t="shared" si="133"/>
        <v>0</v>
      </c>
      <c r="CE152" s="222"/>
      <c r="CF152" s="222">
        <f t="shared" si="134"/>
        <v>0</v>
      </c>
      <c r="CG152" s="223"/>
      <c r="CH152" s="224">
        <f t="shared" si="78"/>
        <v>0</v>
      </c>
      <c r="CI152" s="224"/>
      <c r="CJ152" s="312"/>
    </row>
    <row r="153" spans="1:88" ht="15" customHeight="1" x14ac:dyDescent="0.2">
      <c r="A153" s="4"/>
      <c r="B153" s="27"/>
      <c r="C153" s="28" t="s">
        <v>99</v>
      </c>
      <c r="D153" s="28"/>
      <c r="E153" s="29"/>
      <c r="F153" s="28"/>
      <c r="G153" s="30">
        <f>ROUND(SUM(G136:G152),5)</f>
        <v>4378.88</v>
      </c>
      <c r="H153" s="31"/>
      <c r="I153" s="30">
        <f>ROUND(SUM(I136:I152),5)</f>
        <v>8333.3700000000008</v>
      </c>
      <c r="J153" s="31"/>
      <c r="K153" s="30">
        <f t="shared" si="135"/>
        <v>-3954.49</v>
      </c>
      <c r="L153" s="31"/>
      <c r="M153" s="32">
        <f t="shared" si="136"/>
        <v>0.52546000000000004</v>
      </c>
      <c r="N153" s="31"/>
      <c r="O153" s="30">
        <f>ROUND(SUM(O136:O152),5)</f>
        <v>4079.82</v>
      </c>
      <c r="P153" s="31"/>
      <c r="Q153" s="30">
        <f>ROUND(SUM(Q136:Q152),5)</f>
        <v>8333.33</v>
      </c>
      <c r="R153" s="31"/>
      <c r="S153" s="30">
        <f t="shared" si="137"/>
        <v>-4253.51</v>
      </c>
      <c r="T153" s="31"/>
      <c r="U153" s="32">
        <f t="shared" si="138"/>
        <v>0.48958000000000002</v>
      </c>
      <c r="V153" s="31"/>
      <c r="W153" s="33">
        <f>ROUND(SUM(W136:W152),5)</f>
        <v>19824.96</v>
      </c>
      <c r="X153" s="33"/>
      <c r="Y153" s="33">
        <f>ROUND(SUM(Y136:Y152),5)</f>
        <v>8333.33</v>
      </c>
      <c r="Z153" s="33"/>
      <c r="AA153" s="33">
        <f t="shared" si="139"/>
        <v>11491.63</v>
      </c>
      <c r="AB153" s="33"/>
      <c r="AC153" s="33"/>
      <c r="AD153" s="34">
        <v>95000</v>
      </c>
      <c r="AE153" s="34"/>
      <c r="AF153" s="49">
        <v>102392.99</v>
      </c>
      <c r="AG153" s="50"/>
      <c r="AH153" s="51">
        <v>100000</v>
      </c>
      <c r="AI153" s="51"/>
      <c r="AJ153" s="51">
        <v>115818.40000000001</v>
      </c>
      <c r="AK153" s="51"/>
      <c r="AL153" s="51">
        <v>100000</v>
      </c>
      <c r="AM153" s="51"/>
      <c r="AN153" s="51">
        <v>83348.7</v>
      </c>
      <c r="AO153" s="51"/>
      <c r="AP153" s="51">
        <v>51640.88</v>
      </c>
      <c r="AQ153" s="51"/>
      <c r="AR153" s="51">
        <f t="shared" si="140"/>
        <v>25000.03</v>
      </c>
      <c r="AS153" s="51">
        <f t="shared" si="124"/>
        <v>103281.76</v>
      </c>
      <c r="AT153" s="51"/>
      <c r="AU153" s="65"/>
      <c r="AV153" s="54">
        <v>72000</v>
      </c>
      <c r="AW153" s="55"/>
      <c r="AX153" s="56">
        <f t="shared" si="87"/>
        <v>-16651.300000000003</v>
      </c>
      <c r="AY153" s="88"/>
      <c r="AZ153" s="89">
        <v>60983.54</v>
      </c>
      <c r="BA153" s="54"/>
      <c r="BB153" s="54"/>
      <c r="BC153" s="60"/>
      <c r="BD153" s="54">
        <v>126021.25</v>
      </c>
      <c r="BE153" s="54"/>
      <c r="BF153" s="54"/>
      <c r="BG153" s="54">
        <v>72000</v>
      </c>
      <c r="BH153" s="54"/>
      <c r="BI153" s="54">
        <v>109460.99</v>
      </c>
      <c r="BJ153" s="54"/>
      <c r="BK153" s="54">
        <v>120000</v>
      </c>
      <c r="BL153" s="54"/>
      <c r="BM153" s="58">
        <f t="shared" si="125"/>
        <v>48000</v>
      </c>
      <c r="BN153" s="58"/>
      <c r="BO153" s="54">
        <v>72105.81</v>
      </c>
      <c r="BP153" s="54"/>
      <c r="BQ153" s="66">
        <v>116929.17</v>
      </c>
      <c r="BR153" s="66"/>
      <c r="BS153" s="66">
        <f t="shared" si="118"/>
        <v>-3070.8300000000017</v>
      </c>
      <c r="BT153" s="58"/>
      <c r="BU153" s="54">
        <v>120000</v>
      </c>
      <c r="BV153" s="58"/>
      <c r="BW153" s="58">
        <f t="shared" si="141"/>
        <v>0</v>
      </c>
      <c r="BX153" s="58"/>
      <c r="BY153" s="225" t="s">
        <v>291</v>
      </c>
      <c r="BZ153" s="66">
        <v>101385.39</v>
      </c>
      <c r="CA153" s="66"/>
      <c r="CB153" s="226">
        <v>120000</v>
      </c>
      <c r="CC153" s="226"/>
      <c r="CD153" s="226">
        <v>95783.3</v>
      </c>
      <c r="CE153" s="226"/>
      <c r="CF153" s="226">
        <v>102000</v>
      </c>
      <c r="CG153" s="227"/>
      <c r="CH153" s="61">
        <f>CF153-CB153</f>
        <v>-18000</v>
      </c>
      <c r="CI153" s="224"/>
      <c r="CJ153" s="315" t="s">
        <v>292</v>
      </c>
    </row>
    <row r="154" spans="1:88" ht="15" customHeight="1" x14ac:dyDescent="0.2">
      <c r="A154" s="4"/>
      <c r="B154" s="27"/>
      <c r="C154" s="28" t="s">
        <v>117</v>
      </c>
      <c r="D154" s="28"/>
      <c r="E154" s="29"/>
      <c r="F154" s="28"/>
      <c r="G154" s="30"/>
      <c r="H154" s="31"/>
      <c r="I154" s="30"/>
      <c r="J154" s="31"/>
      <c r="K154" s="30"/>
      <c r="L154" s="31"/>
      <c r="M154" s="32"/>
      <c r="N154" s="31"/>
      <c r="O154" s="30"/>
      <c r="P154" s="31"/>
      <c r="Q154" s="30"/>
      <c r="R154" s="31"/>
      <c r="S154" s="30"/>
      <c r="T154" s="31"/>
      <c r="U154" s="32"/>
      <c r="V154" s="31"/>
      <c r="W154" s="33"/>
      <c r="X154" s="33"/>
      <c r="Y154" s="33"/>
      <c r="Z154" s="33"/>
      <c r="AA154" s="33"/>
      <c r="AB154" s="33"/>
      <c r="AC154" s="33"/>
      <c r="AD154" s="34"/>
      <c r="AE154" s="34"/>
      <c r="AF154" s="49"/>
      <c r="AG154" s="50"/>
      <c r="AH154" s="51"/>
      <c r="AI154" s="51"/>
      <c r="AJ154" s="51"/>
      <c r="AK154" s="51"/>
      <c r="AL154" s="51"/>
      <c r="AM154" s="51"/>
      <c r="AN154" s="51"/>
      <c r="AO154" s="51"/>
      <c r="AP154" s="51"/>
      <c r="AQ154" s="51"/>
      <c r="AR154" s="51"/>
      <c r="AS154" s="51"/>
      <c r="AT154" s="51"/>
      <c r="AU154" s="65"/>
      <c r="AV154" s="54"/>
      <c r="AW154" s="55"/>
      <c r="AX154" s="61">
        <f t="shared" si="87"/>
        <v>0</v>
      </c>
      <c r="AY154" s="88"/>
      <c r="AZ154" s="89"/>
      <c r="BA154" s="228"/>
      <c r="BB154" s="54"/>
      <c r="BC154" s="60"/>
      <c r="BD154" s="54"/>
      <c r="BE154" s="54"/>
      <c r="BF154" s="54"/>
      <c r="BG154" s="54"/>
      <c r="BH154" s="54"/>
      <c r="BI154" s="54"/>
      <c r="BJ154" s="54"/>
      <c r="BK154" s="54"/>
      <c r="BL154" s="54"/>
      <c r="BM154" s="58"/>
      <c r="BN154" s="58"/>
      <c r="BO154" s="54"/>
      <c r="BP154" s="54"/>
      <c r="BQ154" s="66"/>
      <c r="BR154" s="66"/>
      <c r="BS154" s="66"/>
      <c r="BT154" s="58"/>
      <c r="BU154" s="54"/>
      <c r="BV154" s="58"/>
      <c r="BW154" s="58">
        <f t="shared" si="141"/>
        <v>0</v>
      </c>
      <c r="BX154" s="58"/>
      <c r="BY154" s="229"/>
      <c r="BZ154" s="66"/>
      <c r="CA154" s="66"/>
      <c r="CB154" s="54"/>
      <c r="CC154" s="54"/>
      <c r="CD154" s="54"/>
      <c r="CE154" s="54"/>
      <c r="CF154" s="54"/>
      <c r="CG154" s="132"/>
      <c r="CH154" s="200"/>
      <c r="CI154" s="200"/>
      <c r="CJ154" s="312"/>
    </row>
    <row r="155" spans="1:88" ht="18" customHeight="1" x14ac:dyDescent="0.2">
      <c r="A155" s="4"/>
      <c r="B155" s="27"/>
      <c r="C155" s="28"/>
      <c r="D155" s="28" t="s">
        <v>118</v>
      </c>
      <c r="E155" s="29"/>
      <c r="F155" s="28"/>
      <c r="G155" s="30">
        <v>781.88</v>
      </c>
      <c r="H155" s="31"/>
      <c r="I155" s="30">
        <v>6666.63</v>
      </c>
      <c r="J155" s="31"/>
      <c r="K155" s="30">
        <f>ROUND((G155-I155),5)</f>
        <v>-5884.75</v>
      </c>
      <c r="L155" s="31"/>
      <c r="M155" s="32">
        <f>ROUND(IF(I155=0, IF(G155=0, 0, 1), G155/I155),5)</f>
        <v>0.11728</v>
      </c>
      <c r="N155" s="31"/>
      <c r="O155" s="30">
        <v>0</v>
      </c>
      <c r="P155" s="31"/>
      <c r="Q155" s="30">
        <v>6666.67</v>
      </c>
      <c r="R155" s="31"/>
      <c r="S155" s="30">
        <f>ROUND((O155-Q155),5)</f>
        <v>-6666.67</v>
      </c>
      <c r="T155" s="31"/>
      <c r="U155" s="32">
        <f>ROUND(IF(Q155=0, IF(O155=0, 0, 1), O155/Q155),5)</f>
        <v>0</v>
      </c>
      <c r="V155" s="31"/>
      <c r="W155" s="33">
        <v>5030.24</v>
      </c>
      <c r="X155" s="33"/>
      <c r="Y155" s="33">
        <v>6666.67</v>
      </c>
      <c r="Z155" s="33"/>
      <c r="AA155" s="33">
        <f>ROUND((W155-Y155),5)</f>
        <v>-1636.43</v>
      </c>
      <c r="AB155" s="33"/>
      <c r="AC155" s="33"/>
      <c r="AD155" s="34">
        <v>83000</v>
      </c>
      <c r="AE155" s="34"/>
      <c r="AF155" s="49">
        <v>83000</v>
      </c>
      <c r="AG155" s="50"/>
      <c r="AH155" s="51">
        <v>83000</v>
      </c>
      <c r="AI155" s="51"/>
      <c r="AJ155" s="51">
        <v>39318.410000000003</v>
      </c>
      <c r="AK155" s="51"/>
      <c r="AL155" s="51">
        <v>80000</v>
      </c>
      <c r="AM155" s="51"/>
      <c r="AN155" s="51">
        <v>35363.93</v>
      </c>
      <c r="AO155" s="51"/>
      <c r="AP155" s="51">
        <v>25509.3</v>
      </c>
      <c r="AQ155" s="51"/>
      <c r="AR155" s="51">
        <f>ROUND(I155+Q155+Y155,5)</f>
        <v>19999.97</v>
      </c>
      <c r="AS155" s="51">
        <f t="shared" ref="AS155:AS157" si="142">AP155*2</f>
        <v>51018.6</v>
      </c>
      <c r="AT155" s="51"/>
      <c r="AU155" s="65"/>
      <c r="AV155" s="54">
        <v>30000</v>
      </c>
      <c r="AW155" s="55"/>
      <c r="AX155" s="56">
        <f t="shared" si="87"/>
        <v>-44636.07</v>
      </c>
      <c r="AY155" s="88"/>
      <c r="AZ155" s="89">
        <v>4932.24</v>
      </c>
      <c r="BA155" s="54"/>
      <c r="BB155" s="54"/>
      <c r="BC155" s="60"/>
      <c r="BD155" s="54">
        <v>31043.88</v>
      </c>
      <c r="BE155" s="54"/>
      <c r="BF155" s="54"/>
      <c r="BG155" s="54">
        <v>40000</v>
      </c>
      <c r="BH155" s="54"/>
      <c r="BI155" s="54">
        <v>40267.620000000003</v>
      </c>
      <c r="BJ155" s="54"/>
      <c r="BK155" s="54">
        <v>15000</v>
      </c>
      <c r="BL155" s="54"/>
      <c r="BM155" s="58">
        <f>BK155-BG155</f>
        <v>-25000</v>
      </c>
      <c r="BN155" s="58"/>
      <c r="BO155" s="54">
        <v>11874.95</v>
      </c>
      <c r="BP155" s="54"/>
      <c r="BQ155" s="66">
        <v>18825.580000000002</v>
      </c>
      <c r="BR155" s="66"/>
      <c r="BS155" s="66">
        <f t="shared" si="118"/>
        <v>3825.5800000000017</v>
      </c>
      <c r="BT155" s="58"/>
      <c r="BU155" s="54">
        <v>15000</v>
      </c>
      <c r="BV155" s="58"/>
      <c r="BW155" s="58">
        <f t="shared" si="141"/>
        <v>0</v>
      </c>
      <c r="BX155" s="58"/>
      <c r="BY155" s="229" t="s">
        <v>293</v>
      </c>
      <c r="BZ155" s="66">
        <v>15720.72</v>
      </c>
      <c r="CA155" s="66"/>
      <c r="CB155" s="226">
        <v>15000</v>
      </c>
      <c r="CC155" s="226"/>
      <c r="CD155" s="226">
        <v>32080.080000000002</v>
      </c>
      <c r="CE155" s="226"/>
      <c r="CF155" s="226">
        <v>12750</v>
      </c>
      <c r="CG155" s="227"/>
      <c r="CH155" s="61">
        <f>CF155-CB155</f>
        <v>-2250</v>
      </c>
      <c r="CI155" s="200"/>
      <c r="CJ155" s="316" t="s">
        <v>318</v>
      </c>
    </row>
    <row r="156" spans="1:88" ht="18" customHeight="1" thickBot="1" x14ac:dyDescent="0.25">
      <c r="A156" s="4"/>
      <c r="B156" s="27"/>
      <c r="C156" s="28"/>
      <c r="D156" s="28" t="s">
        <v>119</v>
      </c>
      <c r="E156" s="29"/>
      <c r="F156" s="28"/>
      <c r="G156" s="68">
        <v>627.37</v>
      </c>
      <c r="H156" s="31"/>
      <c r="I156" s="68">
        <v>4166.63</v>
      </c>
      <c r="J156" s="31"/>
      <c r="K156" s="68">
        <f>ROUND((G156-I156),5)</f>
        <v>-3539.26</v>
      </c>
      <c r="L156" s="31"/>
      <c r="M156" s="69">
        <f>ROUND(IF(I156=0, IF(G156=0, 0, 1), G156/I156),5)</f>
        <v>0.15057000000000001</v>
      </c>
      <c r="N156" s="31"/>
      <c r="O156" s="68">
        <v>688.47</v>
      </c>
      <c r="P156" s="31"/>
      <c r="Q156" s="68">
        <v>4166.67</v>
      </c>
      <c r="R156" s="31"/>
      <c r="S156" s="68">
        <f>ROUND((O156-Q156),5)</f>
        <v>-3478.2</v>
      </c>
      <c r="T156" s="31"/>
      <c r="U156" s="69">
        <f>ROUND(IF(Q156=0, IF(O156=0, 0, 1), O156/Q156),5)</f>
        <v>0.16522999999999999</v>
      </c>
      <c r="V156" s="31"/>
      <c r="W156" s="33">
        <v>16998.61</v>
      </c>
      <c r="X156" s="33"/>
      <c r="Y156" s="33">
        <v>4166.67</v>
      </c>
      <c r="Z156" s="33"/>
      <c r="AA156" s="33">
        <f>ROUND((W156-Y156),5)</f>
        <v>12831.94</v>
      </c>
      <c r="AB156" s="33"/>
      <c r="AC156" s="33"/>
      <c r="AD156" s="34">
        <v>25000</v>
      </c>
      <c r="AE156" s="34"/>
      <c r="AF156" s="71">
        <v>24970.400000000001</v>
      </c>
      <c r="AG156" s="72"/>
      <c r="AH156" s="73">
        <v>25000</v>
      </c>
      <c r="AI156" s="73"/>
      <c r="AJ156" s="73">
        <v>45164.9</v>
      </c>
      <c r="AK156" s="73"/>
      <c r="AL156" s="73">
        <v>50000</v>
      </c>
      <c r="AM156" s="73"/>
      <c r="AN156" s="73">
        <v>42378.559999999998</v>
      </c>
      <c r="AO156" s="73"/>
      <c r="AP156" s="73">
        <v>30203.119999999999</v>
      </c>
      <c r="AQ156" s="73"/>
      <c r="AR156" s="73">
        <f>ROUND(I156+Q156+Y156,5)</f>
        <v>12499.97</v>
      </c>
      <c r="AS156" s="73">
        <f t="shared" si="142"/>
        <v>60406.239999999998</v>
      </c>
      <c r="AT156" s="73"/>
      <c r="AU156" s="116"/>
      <c r="AV156" s="93">
        <v>50000</v>
      </c>
      <c r="AW156" s="94"/>
      <c r="AX156" s="95">
        <f t="shared" si="87"/>
        <v>-7621.4400000000023</v>
      </c>
      <c r="AY156" s="106"/>
      <c r="AZ156" s="173">
        <v>14104.44</v>
      </c>
      <c r="BA156" s="93"/>
      <c r="BB156" s="93"/>
      <c r="BC156" s="99"/>
      <c r="BD156" s="93">
        <f>3098.49+26193.42</f>
        <v>29291.909999999996</v>
      </c>
      <c r="BE156" s="93"/>
      <c r="BF156" s="93"/>
      <c r="BG156" s="93">
        <v>40000</v>
      </c>
      <c r="BH156" s="93"/>
      <c r="BI156" s="93">
        <f>25894.26+119.7</f>
        <v>26013.96</v>
      </c>
      <c r="BJ156" s="93"/>
      <c r="BK156" s="93">
        <v>33000</v>
      </c>
      <c r="BL156" s="93"/>
      <c r="BM156" s="101">
        <f>BK156-BG156</f>
        <v>-7000</v>
      </c>
      <c r="BN156" s="101"/>
      <c r="BO156" s="93">
        <v>15296.56</v>
      </c>
      <c r="BP156" s="93"/>
      <c r="BQ156" s="102">
        <v>44403.34</v>
      </c>
      <c r="BR156" s="102"/>
      <c r="BS156" s="102">
        <f t="shared" si="118"/>
        <v>11403.339999999997</v>
      </c>
      <c r="BT156" s="101"/>
      <c r="BU156" s="93">
        <v>35000</v>
      </c>
      <c r="BV156" s="101"/>
      <c r="BW156" s="101">
        <f t="shared" si="141"/>
        <v>2000</v>
      </c>
      <c r="BX156" s="58"/>
      <c r="BY156" s="229" t="s">
        <v>294</v>
      </c>
      <c r="BZ156" s="102">
        <v>37094.769999999997</v>
      </c>
      <c r="CA156" s="102"/>
      <c r="CB156" s="219">
        <f>35000/2</f>
        <v>17500</v>
      </c>
      <c r="CC156" s="219"/>
      <c r="CD156" s="219">
        <v>0</v>
      </c>
      <c r="CE156" s="219"/>
      <c r="CF156" s="219">
        <v>14000</v>
      </c>
      <c r="CG156" s="220"/>
      <c r="CH156" s="103">
        <f>CF156-CB156</f>
        <v>-3500</v>
      </c>
      <c r="CI156" s="129"/>
      <c r="CJ156" s="314" t="s">
        <v>295</v>
      </c>
    </row>
    <row r="157" spans="1:88" ht="18" customHeight="1" thickBot="1" x14ac:dyDescent="0.25">
      <c r="A157" s="4"/>
      <c r="B157" s="27"/>
      <c r="C157" s="28" t="s">
        <v>120</v>
      </c>
      <c r="D157" s="28"/>
      <c r="E157" s="29"/>
      <c r="F157" s="28"/>
      <c r="G157" s="30">
        <f>ROUND(SUM(G154:G156),5)</f>
        <v>1409.25</v>
      </c>
      <c r="H157" s="31"/>
      <c r="I157" s="30">
        <f>ROUND(SUM(I154:I156),5)</f>
        <v>10833.26</v>
      </c>
      <c r="J157" s="31"/>
      <c r="K157" s="30">
        <f>ROUND((G157-I157),5)</f>
        <v>-9424.01</v>
      </c>
      <c r="L157" s="31"/>
      <c r="M157" s="32">
        <f>ROUND(IF(I157=0, IF(G157=0, 0, 1), G157/I157),5)</f>
        <v>0.13009000000000001</v>
      </c>
      <c r="N157" s="31"/>
      <c r="O157" s="30">
        <f>ROUND(SUM(O154:O156),5)</f>
        <v>688.47</v>
      </c>
      <c r="P157" s="31"/>
      <c r="Q157" s="30">
        <f>ROUND(SUM(Q154:Q156),5)</f>
        <v>10833.34</v>
      </c>
      <c r="R157" s="31"/>
      <c r="S157" s="30">
        <f>ROUND((O157-Q157),5)</f>
        <v>-10144.870000000001</v>
      </c>
      <c r="T157" s="31"/>
      <c r="U157" s="32">
        <f>ROUND(IF(Q157=0, IF(O157=0, 0, 1), O157/Q157),5)</f>
        <v>6.3549999999999995E-2</v>
      </c>
      <c r="V157" s="31"/>
      <c r="W157" s="76">
        <f>SUM(W155:W156)</f>
        <v>22028.85</v>
      </c>
      <c r="X157" s="76"/>
      <c r="Y157" s="76">
        <f>SUM(Y155:Y156)</f>
        <v>10833.34</v>
      </c>
      <c r="Z157" s="76"/>
      <c r="AA157" s="76">
        <f>ROUND((W157-Y157),5)</f>
        <v>11195.51</v>
      </c>
      <c r="AB157" s="76"/>
      <c r="AC157" s="76"/>
      <c r="AD157" s="194">
        <f>AD155+AD156</f>
        <v>108000</v>
      </c>
      <c r="AE157" s="194"/>
      <c r="AF157" s="195">
        <f>AF155+AF156</f>
        <v>107970.4</v>
      </c>
      <c r="AG157" s="81"/>
      <c r="AH157" s="230">
        <f>AH155+AH156</f>
        <v>108000</v>
      </c>
      <c r="AI157" s="230"/>
      <c r="AJ157" s="41">
        <v>84483.31</v>
      </c>
      <c r="AK157" s="230"/>
      <c r="AL157" s="41">
        <f>SUM(AL155:AL156)</f>
        <v>130000</v>
      </c>
      <c r="AM157" s="41"/>
      <c r="AN157" s="41">
        <f>SUM(AN155:AN156)</f>
        <v>77742.489999999991</v>
      </c>
      <c r="AO157" s="41"/>
      <c r="AP157" s="41">
        <f>SUM(AP155:AP156)</f>
        <v>55712.42</v>
      </c>
      <c r="AQ157" s="41"/>
      <c r="AR157" s="41">
        <f>SUM(AR155:AR156)</f>
        <v>32499.940000000002</v>
      </c>
      <c r="AS157" s="41">
        <f t="shared" si="142"/>
        <v>111424.84</v>
      </c>
      <c r="AT157" s="41"/>
      <c r="AU157" s="42"/>
      <c r="AV157" s="79">
        <f>SUM(AV155:AV156)</f>
        <v>80000</v>
      </c>
      <c r="AW157" s="80"/>
      <c r="AX157" s="81">
        <f t="shared" si="87"/>
        <v>-52257.510000000009</v>
      </c>
      <c r="AY157" s="81"/>
      <c r="AZ157" s="176">
        <f>AZ155+AZ156</f>
        <v>19036.68</v>
      </c>
      <c r="BA157" s="79"/>
      <c r="BB157" s="79"/>
      <c r="BC157" s="83"/>
      <c r="BD157" s="79">
        <f>SUM(BD155:BD156)</f>
        <v>60335.789999999994</v>
      </c>
      <c r="BE157" s="79"/>
      <c r="BF157" s="79"/>
      <c r="BG157" s="79">
        <f>SUM(BG155:BG156)</f>
        <v>80000</v>
      </c>
      <c r="BH157" s="79"/>
      <c r="BI157" s="79">
        <f>SUM(BI155:BI156)</f>
        <v>66281.58</v>
      </c>
      <c r="BJ157" s="79"/>
      <c r="BK157" s="79">
        <f>SUM(BK155:BK156)</f>
        <v>48000</v>
      </c>
      <c r="BL157" s="79"/>
      <c r="BM157" s="84">
        <f>BK157-BG157</f>
        <v>-32000</v>
      </c>
      <c r="BN157" s="84"/>
      <c r="BO157" s="79">
        <f>SUM(BO155:BO156)</f>
        <v>27171.510000000002</v>
      </c>
      <c r="BP157" s="79"/>
      <c r="BQ157" s="85">
        <f>SUM(BQ155:BQ156)</f>
        <v>63228.92</v>
      </c>
      <c r="BR157" s="85"/>
      <c r="BS157" s="85">
        <f t="shared" si="118"/>
        <v>15228.919999999998</v>
      </c>
      <c r="BT157" s="84"/>
      <c r="BU157" s="79">
        <f>SUM(BU155:BU156)</f>
        <v>50000</v>
      </c>
      <c r="BV157" s="84"/>
      <c r="BW157" s="84">
        <f t="shared" si="141"/>
        <v>2000</v>
      </c>
      <c r="BX157" s="58"/>
      <c r="BY157" s="91"/>
      <c r="BZ157" s="79">
        <f>SUM(BZ155:BZ156)</f>
        <v>52815.49</v>
      </c>
      <c r="CA157" s="79"/>
      <c r="CB157" s="79">
        <f>SUM(CB155:CB156)</f>
        <v>32500</v>
      </c>
      <c r="CC157" s="79"/>
      <c r="CD157" s="79">
        <f>SUM(CD155:CD156)</f>
        <v>32080.080000000002</v>
      </c>
      <c r="CE157" s="79"/>
      <c r="CF157" s="79">
        <f>SUM(CF155:CF156)</f>
        <v>26750</v>
      </c>
      <c r="CG157" s="198"/>
      <c r="CH157" s="199">
        <f>CB157-BU157</f>
        <v>-17500</v>
      </c>
      <c r="CI157" s="199"/>
      <c r="CJ157" s="311"/>
    </row>
    <row r="158" spans="1:88" ht="18" customHeight="1" x14ac:dyDescent="0.2">
      <c r="A158" s="4"/>
      <c r="B158" s="27"/>
      <c r="C158" s="28" t="s">
        <v>121</v>
      </c>
      <c r="D158" s="28"/>
      <c r="E158" s="29"/>
      <c r="F158" s="28"/>
      <c r="G158" s="30"/>
      <c r="H158" s="31"/>
      <c r="I158" s="30"/>
      <c r="J158" s="31"/>
      <c r="K158" s="30"/>
      <c r="L158" s="31"/>
      <c r="M158" s="32"/>
      <c r="N158" s="31"/>
      <c r="O158" s="30"/>
      <c r="P158" s="31"/>
      <c r="Q158" s="30"/>
      <c r="R158" s="31"/>
      <c r="S158" s="30"/>
      <c r="T158" s="31"/>
      <c r="U158" s="32"/>
      <c r="V158" s="31"/>
      <c r="W158" s="33"/>
      <c r="X158" s="33"/>
      <c r="Y158" s="33"/>
      <c r="Z158" s="33"/>
      <c r="AA158" s="33"/>
      <c r="AB158" s="33"/>
      <c r="AC158" s="33"/>
      <c r="AD158" s="34"/>
      <c r="AE158" s="34"/>
      <c r="AF158" s="49"/>
      <c r="AG158" s="50"/>
      <c r="AH158" s="51"/>
      <c r="AI158" s="51"/>
      <c r="AJ158" s="51"/>
      <c r="AK158" s="51"/>
      <c r="AL158" s="51"/>
      <c r="AM158" s="51"/>
      <c r="AN158" s="51"/>
      <c r="AO158" s="51"/>
      <c r="AP158" s="51"/>
      <c r="AQ158" s="51"/>
      <c r="AR158" s="51"/>
      <c r="AS158" s="51"/>
      <c r="AT158" s="51"/>
      <c r="AU158" s="65"/>
      <c r="AV158" s="54"/>
      <c r="AW158" s="55"/>
      <c r="AX158" s="56">
        <f t="shared" si="87"/>
        <v>0</v>
      </c>
      <c r="AY158" s="88"/>
      <c r="AZ158" s="89"/>
      <c r="BA158" s="54"/>
      <c r="BB158" s="54"/>
      <c r="BC158" s="60"/>
      <c r="BD158" s="54"/>
      <c r="BE158" s="54"/>
      <c r="BF158" s="54"/>
      <c r="BG158" s="54"/>
      <c r="BH158" s="54"/>
      <c r="BI158" s="54"/>
      <c r="BJ158" s="54"/>
      <c r="BK158" s="54"/>
      <c r="BL158" s="54"/>
      <c r="BM158" s="58"/>
      <c r="BN158" s="58"/>
      <c r="BO158" s="54"/>
      <c r="BP158" s="54"/>
      <c r="BQ158" s="66"/>
      <c r="BR158" s="66"/>
      <c r="BS158" s="66"/>
      <c r="BT158" s="58"/>
      <c r="BU158" s="54"/>
      <c r="BV158" s="58"/>
      <c r="BW158" s="58">
        <f t="shared" si="141"/>
        <v>0</v>
      </c>
      <c r="BX158" s="58"/>
      <c r="BY158" s="91"/>
      <c r="BZ158" s="66"/>
      <c r="CA158" s="221"/>
      <c r="CB158" s="222"/>
      <c r="CC158" s="222"/>
      <c r="CD158" s="222"/>
      <c r="CE158" s="222"/>
      <c r="CF158" s="222"/>
      <c r="CG158" s="223"/>
      <c r="CH158" s="200"/>
      <c r="CI158" s="224"/>
      <c r="CJ158" s="317"/>
    </row>
    <row r="159" spans="1:88" ht="15" customHeight="1" x14ac:dyDescent="0.2">
      <c r="A159" s="4"/>
      <c r="B159" s="27"/>
      <c r="C159" s="28"/>
      <c r="D159" s="28" t="s">
        <v>122</v>
      </c>
      <c r="E159" s="29"/>
      <c r="F159" s="28"/>
      <c r="G159" s="30">
        <v>0</v>
      </c>
      <c r="H159" s="31"/>
      <c r="I159" s="30">
        <v>8333.3700000000008</v>
      </c>
      <c r="J159" s="31"/>
      <c r="K159" s="30">
        <f>ROUND((G159-I159),5)</f>
        <v>-8333.3700000000008</v>
      </c>
      <c r="L159" s="31"/>
      <c r="M159" s="32">
        <f>ROUND(IF(I159=0, IF(G159=0, 0, 1), G159/I159),5)</f>
        <v>0</v>
      </c>
      <c r="N159" s="31"/>
      <c r="O159" s="30">
        <v>150659.34</v>
      </c>
      <c r="P159" s="31"/>
      <c r="Q159" s="30">
        <v>8333.33</v>
      </c>
      <c r="R159" s="31"/>
      <c r="S159" s="30">
        <f>ROUND((O159-Q159),5)</f>
        <v>142326.01</v>
      </c>
      <c r="T159" s="31"/>
      <c r="U159" s="32">
        <f>ROUND(IF(Q159=0, IF(O159=0, 0, 1), O159/Q159),5)</f>
        <v>18.079129999999999</v>
      </c>
      <c r="V159" s="31"/>
      <c r="W159" s="33">
        <v>3288.02</v>
      </c>
      <c r="X159" s="33"/>
      <c r="Y159" s="33">
        <v>8333.33</v>
      </c>
      <c r="Z159" s="33"/>
      <c r="AA159" s="33">
        <f>ROUND((W159-Y159),5)</f>
        <v>-5045.3100000000004</v>
      </c>
      <c r="AB159" s="33"/>
      <c r="AC159" s="33"/>
      <c r="AD159" s="34">
        <v>103000</v>
      </c>
      <c r="AE159" s="34"/>
      <c r="AF159" s="49">
        <v>102123.61</v>
      </c>
      <c r="AG159" s="50"/>
      <c r="AH159" s="51">
        <v>100000</v>
      </c>
      <c r="AI159" s="51"/>
      <c r="AJ159" s="51">
        <v>102921.12</v>
      </c>
      <c r="AK159" s="51"/>
      <c r="AL159" s="51">
        <v>100000</v>
      </c>
      <c r="AM159" s="51"/>
      <c r="AN159" s="51">
        <v>176039.2</v>
      </c>
      <c r="AO159" s="51"/>
      <c r="AP159" s="51">
        <f>85615.48+336.25</f>
        <v>85951.73</v>
      </c>
      <c r="AQ159" s="51"/>
      <c r="AR159" s="51">
        <f>ROUND(I159+Q159+Y159,5)</f>
        <v>25000.03</v>
      </c>
      <c r="AS159" s="51">
        <f t="shared" ref="AS159:AS161" si="143">AP159*2</f>
        <v>171903.46</v>
      </c>
      <c r="AT159" s="51"/>
      <c r="AU159" s="65"/>
      <c r="AV159" s="54">
        <v>100000</v>
      </c>
      <c r="AW159" s="55"/>
      <c r="AX159" s="56">
        <f t="shared" si="87"/>
        <v>76039.200000000012</v>
      </c>
      <c r="AY159" s="56"/>
      <c r="AZ159" s="54">
        <v>91672.33</v>
      </c>
      <c r="BA159" s="54"/>
      <c r="BB159" s="54"/>
      <c r="BC159" s="60"/>
      <c r="BD159" s="54">
        <v>131572.93</v>
      </c>
      <c r="BE159" s="54"/>
      <c r="BF159" s="54"/>
      <c r="BG159" s="54">
        <v>60000</v>
      </c>
      <c r="BH159" s="54"/>
      <c r="BI159" s="54">
        <v>74245.86</v>
      </c>
      <c r="BJ159" s="54"/>
      <c r="BK159" s="54">
        <v>50000</v>
      </c>
      <c r="BL159" s="54"/>
      <c r="BM159" s="58">
        <f>BK159-BG159</f>
        <v>-10000</v>
      </c>
      <c r="BN159" s="58"/>
      <c r="BO159" s="54">
        <v>34861.730000000003</v>
      </c>
      <c r="BP159" s="54"/>
      <c r="BQ159" s="66">
        <v>46623.43</v>
      </c>
      <c r="BR159" s="66"/>
      <c r="BS159" s="66">
        <f t="shared" si="118"/>
        <v>-3376.5699999999997</v>
      </c>
      <c r="BT159" s="58"/>
      <c r="BU159" s="54">
        <v>25000</v>
      </c>
      <c r="BV159" s="58"/>
      <c r="BW159" s="58">
        <f t="shared" si="141"/>
        <v>-25000</v>
      </c>
      <c r="BX159" s="58"/>
      <c r="BY159" s="216" t="s">
        <v>296</v>
      </c>
      <c r="BZ159" s="115">
        <v>25665.3</v>
      </c>
      <c r="CA159" s="115"/>
      <c r="CB159" s="227">
        <v>45000</v>
      </c>
      <c r="CC159" s="227"/>
      <c r="CD159" s="227">
        <v>32021.360000000001</v>
      </c>
      <c r="CE159" s="227"/>
      <c r="CF159" s="227">
        <v>45000</v>
      </c>
      <c r="CG159" s="227"/>
      <c r="CH159" s="61">
        <f t="shared" ref="CH159:CH160" si="144">CF159-CB159</f>
        <v>0</v>
      </c>
      <c r="CI159" s="200"/>
      <c r="CJ159" s="318" t="s">
        <v>309</v>
      </c>
    </row>
    <row r="160" spans="1:88" ht="19.5" customHeight="1" thickBot="1" x14ac:dyDescent="0.25">
      <c r="A160" s="4"/>
      <c r="B160" s="27"/>
      <c r="C160" s="28"/>
      <c r="D160" s="28" t="s">
        <v>123</v>
      </c>
      <c r="E160" s="29"/>
      <c r="F160" s="28"/>
      <c r="G160" s="68">
        <v>0</v>
      </c>
      <c r="H160" s="31"/>
      <c r="I160" s="68">
        <v>250</v>
      </c>
      <c r="J160" s="31"/>
      <c r="K160" s="68">
        <f>ROUND((G160-I160),5)</f>
        <v>-250</v>
      </c>
      <c r="L160" s="31"/>
      <c r="M160" s="69">
        <f>ROUND(IF(I160=0, IF(G160=0, 0, 1), G160/I160),5)</f>
        <v>0</v>
      </c>
      <c r="N160" s="31"/>
      <c r="O160" s="68">
        <v>147.94999999999999</v>
      </c>
      <c r="P160" s="31"/>
      <c r="Q160" s="68">
        <v>250</v>
      </c>
      <c r="R160" s="31"/>
      <c r="S160" s="68">
        <f>ROUND((O160-Q160),5)</f>
        <v>-102.05</v>
      </c>
      <c r="T160" s="31"/>
      <c r="U160" s="69">
        <f>ROUND(IF(Q160=0, IF(O160=0, 0, 1), O160/Q160),5)</f>
        <v>0.59179999999999999</v>
      </c>
      <c r="V160" s="31"/>
      <c r="W160" s="33">
        <v>87.82</v>
      </c>
      <c r="X160" s="33"/>
      <c r="Y160" s="33">
        <v>250</v>
      </c>
      <c r="Z160" s="33"/>
      <c r="AA160" s="33">
        <f>ROUND((W160-Y160),5)</f>
        <v>-162.18</v>
      </c>
      <c r="AB160" s="33"/>
      <c r="AC160" s="33"/>
      <c r="AD160" s="34"/>
      <c r="AE160" s="34"/>
      <c r="AF160" s="71">
        <v>85</v>
      </c>
      <c r="AG160" s="72"/>
      <c r="AH160" s="73">
        <v>3000</v>
      </c>
      <c r="AI160" s="73"/>
      <c r="AJ160" s="73">
        <v>1390.6</v>
      </c>
      <c r="AK160" s="73"/>
      <c r="AL160" s="73">
        <v>3000</v>
      </c>
      <c r="AM160" s="73"/>
      <c r="AN160" s="73">
        <v>822.15</v>
      </c>
      <c r="AO160" s="73"/>
      <c r="AP160" s="73">
        <v>869.23</v>
      </c>
      <c r="AQ160" s="73"/>
      <c r="AR160" s="73">
        <f>ROUND(I160+Q160+Y160,5)</f>
        <v>750</v>
      </c>
      <c r="AS160" s="73">
        <f t="shared" si="143"/>
        <v>1738.46</v>
      </c>
      <c r="AT160" s="73"/>
      <c r="AU160" s="116"/>
      <c r="AV160" s="93">
        <v>3000</v>
      </c>
      <c r="AW160" s="94"/>
      <c r="AX160" s="95">
        <f t="shared" si="87"/>
        <v>-2177.85</v>
      </c>
      <c r="AY160" s="95"/>
      <c r="AZ160" s="93">
        <v>79.84</v>
      </c>
      <c r="BA160" s="93"/>
      <c r="BB160" s="93"/>
      <c r="BC160" s="99"/>
      <c r="BD160" s="93">
        <v>90.06</v>
      </c>
      <c r="BE160" s="93"/>
      <c r="BF160" s="93"/>
      <c r="BG160" s="93">
        <v>3000</v>
      </c>
      <c r="BH160" s="93"/>
      <c r="BI160" s="93">
        <v>1495.73</v>
      </c>
      <c r="BJ160" s="93"/>
      <c r="BK160" s="93">
        <v>3000</v>
      </c>
      <c r="BL160" s="93"/>
      <c r="BM160" s="101">
        <f>BK160-BG160</f>
        <v>0</v>
      </c>
      <c r="BN160" s="101"/>
      <c r="BO160" s="93">
        <v>1875.2</v>
      </c>
      <c r="BP160" s="93"/>
      <c r="BQ160" s="102">
        <v>3069.9</v>
      </c>
      <c r="BR160" s="102"/>
      <c r="BS160" s="102">
        <f t="shared" si="118"/>
        <v>69.900000000000091</v>
      </c>
      <c r="BT160" s="101"/>
      <c r="BU160" s="93">
        <v>3000</v>
      </c>
      <c r="BV160" s="101"/>
      <c r="BW160" s="101">
        <f t="shared" si="141"/>
        <v>0</v>
      </c>
      <c r="BX160" s="58"/>
      <c r="BY160" s="90" t="s">
        <v>204</v>
      </c>
      <c r="BZ160" s="118">
        <v>3137.48</v>
      </c>
      <c r="CA160" s="118"/>
      <c r="CB160" s="220">
        <v>3000</v>
      </c>
      <c r="CC160" s="220"/>
      <c r="CD160" s="220">
        <v>0</v>
      </c>
      <c r="CE160" s="220"/>
      <c r="CF160" s="220">
        <v>3000</v>
      </c>
      <c r="CG160" s="220"/>
      <c r="CH160" s="103">
        <f t="shared" si="144"/>
        <v>0</v>
      </c>
      <c r="CI160" s="129"/>
      <c r="CJ160" s="319" t="s">
        <v>310</v>
      </c>
    </row>
    <row r="161" spans="1:88" ht="18" customHeight="1" thickBot="1" x14ac:dyDescent="0.25">
      <c r="A161" s="4"/>
      <c r="B161" s="27"/>
      <c r="C161" s="28" t="s">
        <v>124</v>
      </c>
      <c r="D161" s="28"/>
      <c r="E161" s="29"/>
      <c r="F161" s="28"/>
      <c r="G161" s="30">
        <f>ROUND(SUM(G158:G160),5)</f>
        <v>0</v>
      </c>
      <c r="H161" s="31"/>
      <c r="I161" s="30">
        <f>ROUND(SUM(I158:I160),5)</f>
        <v>8583.3700000000008</v>
      </c>
      <c r="J161" s="31"/>
      <c r="K161" s="30">
        <f>ROUND((G161-I161),5)</f>
        <v>-8583.3700000000008</v>
      </c>
      <c r="L161" s="31"/>
      <c r="M161" s="32">
        <f>ROUND(IF(I161=0, IF(G161=0, 0, 1), G161/I161),5)</f>
        <v>0</v>
      </c>
      <c r="N161" s="31"/>
      <c r="O161" s="30">
        <f>ROUND(SUM(O158:O160),5)</f>
        <v>150807.29</v>
      </c>
      <c r="P161" s="31"/>
      <c r="Q161" s="30">
        <f>ROUND(SUM(Q158:Q160),5)</f>
        <v>8583.33</v>
      </c>
      <c r="R161" s="31"/>
      <c r="S161" s="30">
        <f>ROUND((O161-Q161),5)</f>
        <v>142223.96</v>
      </c>
      <c r="T161" s="31"/>
      <c r="U161" s="32">
        <f>ROUND(IF(Q161=0, IF(O161=0, 0, 1), O161/Q161),5)</f>
        <v>17.569790000000001</v>
      </c>
      <c r="V161" s="31"/>
      <c r="W161" s="76">
        <f>SUM(W159:W160)</f>
        <v>3375.84</v>
      </c>
      <c r="X161" s="76"/>
      <c r="Y161" s="76">
        <f>SUM(Y159:Y160)</f>
        <v>8583.33</v>
      </c>
      <c r="Z161" s="76"/>
      <c r="AA161" s="76">
        <f>ROUND((W161-Y161),5)</f>
        <v>-5207.49</v>
      </c>
      <c r="AB161" s="76"/>
      <c r="AC161" s="76"/>
      <c r="AD161" s="174">
        <f>SUM(AD159:AD160)</f>
        <v>103000</v>
      </c>
      <c r="AE161" s="174"/>
      <c r="AF161" s="175">
        <f>SUM(AF159:AF160)</f>
        <v>102208.61</v>
      </c>
      <c r="AG161" s="79"/>
      <c r="AH161" s="41">
        <f>SUM(AH159:AH160)</f>
        <v>103000</v>
      </c>
      <c r="AI161" s="41"/>
      <c r="AJ161" s="41">
        <v>104311.72</v>
      </c>
      <c r="AK161" s="41"/>
      <c r="AL161" s="41">
        <f>SUM(AL159:AL160)</f>
        <v>103000</v>
      </c>
      <c r="AM161" s="41"/>
      <c r="AN161" s="41">
        <f>SUM(AN159:AN160)</f>
        <v>176861.35</v>
      </c>
      <c r="AO161" s="41"/>
      <c r="AP161" s="41">
        <f>SUM(AP159:AP160)</f>
        <v>86820.959999999992</v>
      </c>
      <c r="AQ161" s="41"/>
      <c r="AR161" s="41">
        <f>SUM(AR159:AR160)</f>
        <v>25750.03</v>
      </c>
      <c r="AS161" s="41">
        <f t="shared" si="143"/>
        <v>173641.91999999998</v>
      </c>
      <c r="AT161" s="41"/>
      <c r="AU161" s="42"/>
      <c r="AV161" s="79">
        <f>SUM(AV159:AV160)</f>
        <v>103000</v>
      </c>
      <c r="AW161" s="80"/>
      <c r="AX161" s="81">
        <f t="shared" si="87"/>
        <v>73861.350000000006</v>
      </c>
      <c r="AY161" s="81"/>
      <c r="AZ161" s="79">
        <f>SUM(AZ159:AZ160)</f>
        <v>91752.17</v>
      </c>
      <c r="BA161" s="79"/>
      <c r="BB161" s="79"/>
      <c r="BC161" s="83"/>
      <c r="BD161" s="79">
        <f>SUM(BD159:BD160)</f>
        <v>131662.99</v>
      </c>
      <c r="BE161" s="79"/>
      <c r="BF161" s="79"/>
      <c r="BG161" s="79">
        <f>SUM(BG159:BG160)</f>
        <v>63000</v>
      </c>
      <c r="BH161" s="79"/>
      <c r="BI161" s="79">
        <f>SUM(BI159:BI160)</f>
        <v>75741.59</v>
      </c>
      <c r="BJ161" s="79"/>
      <c r="BK161" s="79">
        <f>SUM(BK159:BK160)</f>
        <v>53000</v>
      </c>
      <c r="BL161" s="79"/>
      <c r="BM161" s="84">
        <f>BK161-BG161</f>
        <v>-10000</v>
      </c>
      <c r="BN161" s="84"/>
      <c r="BO161" s="79">
        <f>SUM(BO159:BO160)</f>
        <v>36736.93</v>
      </c>
      <c r="BP161" s="79"/>
      <c r="BQ161" s="85">
        <f>SUM(BQ159:BQ160)</f>
        <v>49693.33</v>
      </c>
      <c r="BR161" s="85"/>
      <c r="BS161" s="85">
        <f t="shared" si="118"/>
        <v>-3306.6699999999983</v>
      </c>
      <c r="BT161" s="84"/>
      <c r="BU161" s="79">
        <f>SUM(BU159:BU160)</f>
        <v>28000</v>
      </c>
      <c r="BV161" s="84"/>
      <c r="BW161" s="84">
        <f t="shared" si="141"/>
        <v>-25000</v>
      </c>
      <c r="BX161" s="58"/>
      <c r="BY161" s="91"/>
      <c r="BZ161" s="79">
        <f>SUM(BZ159:BZ160)</f>
        <v>28802.78</v>
      </c>
      <c r="CA161" s="79"/>
      <c r="CB161" s="79">
        <f>SUM(CB159:CB160)</f>
        <v>48000</v>
      </c>
      <c r="CC161" s="79"/>
      <c r="CD161" s="79">
        <f>SUM(CD159:CD160)</f>
        <v>32021.360000000001</v>
      </c>
      <c r="CE161" s="79"/>
      <c r="CF161" s="79">
        <f>SUM(CF159:CF160)</f>
        <v>48000</v>
      </c>
      <c r="CG161" s="198"/>
      <c r="CH161" s="199">
        <f>CB161-BU161</f>
        <v>20000</v>
      </c>
      <c r="CI161" s="199"/>
      <c r="CJ161" s="311"/>
    </row>
    <row r="162" spans="1:88" ht="16.5" customHeight="1" x14ac:dyDescent="0.2">
      <c r="A162" s="4"/>
      <c r="B162" s="27"/>
      <c r="C162" s="28" t="s">
        <v>125</v>
      </c>
      <c r="D162" s="28"/>
      <c r="E162" s="29"/>
      <c r="F162" s="28"/>
      <c r="G162" s="30"/>
      <c r="H162" s="31"/>
      <c r="I162" s="30"/>
      <c r="J162" s="31"/>
      <c r="K162" s="30"/>
      <c r="L162" s="31"/>
      <c r="M162" s="32"/>
      <c r="N162" s="31"/>
      <c r="O162" s="30"/>
      <c r="P162" s="31"/>
      <c r="Q162" s="30"/>
      <c r="R162" s="31"/>
      <c r="S162" s="30"/>
      <c r="T162" s="31"/>
      <c r="U162" s="32"/>
      <c r="V162" s="31"/>
      <c r="W162" s="33"/>
      <c r="X162" s="33"/>
      <c r="Y162" s="33"/>
      <c r="Z162" s="33"/>
      <c r="AA162" s="33"/>
      <c r="AB162" s="33"/>
      <c r="AC162" s="33"/>
      <c r="AD162" s="34"/>
      <c r="AE162" s="34"/>
      <c r="AF162" s="49"/>
      <c r="AG162" s="50"/>
      <c r="AH162" s="51"/>
      <c r="AI162" s="51"/>
      <c r="AJ162" s="51"/>
      <c r="AK162" s="51"/>
      <c r="AL162" s="51"/>
      <c r="AM162" s="51"/>
      <c r="AN162" s="51"/>
      <c r="AO162" s="51"/>
      <c r="AP162" s="51"/>
      <c r="AQ162" s="51"/>
      <c r="AR162" s="51"/>
      <c r="AS162" s="51"/>
      <c r="AT162" s="51"/>
      <c r="AU162" s="65"/>
      <c r="AV162" s="54"/>
      <c r="AW162" s="55"/>
      <c r="AX162" s="56">
        <f t="shared" si="87"/>
        <v>0</v>
      </c>
      <c r="AY162" s="56"/>
      <c r="AZ162" s="54"/>
      <c r="BA162" s="54"/>
      <c r="BB162" s="54"/>
      <c r="BC162" s="60"/>
      <c r="BD162" s="54"/>
      <c r="BE162" s="54"/>
      <c r="BF162" s="54"/>
      <c r="BG162" s="54"/>
      <c r="BH162" s="54"/>
      <c r="BI162" s="54"/>
      <c r="BJ162" s="54"/>
      <c r="BK162" s="54"/>
      <c r="BL162" s="54"/>
      <c r="BM162" s="58"/>
      <c r="BN162" s="58"/>
      <c r="BO162" s="54"/>
      <c r="BP162" s="54"/>
      <c r="BQ162" s="66"/>
      <c r="BR162" s="66"/>
      <c r="BS162" s="66"/>
      <c r="BT162" s="58"/>
      <c r="BU162" s="54"/>
      <c r="BV162" s="58"/>
      <c r="BW162" s="58">
        <f t="shared" si="141"/>
        <v>0</v>
      </c>
      <c r="BX162" s="58"/>
      <c r="BY162" s="91"/>
      <c r="BZ162" s="66"/>
      <c r="CA162" s="221"/>
      <c r="CB162" s="222"/>
      <c r="CC162" s="222"/>
      <c r="CD162" s="222"/>
      <c r="CE162" s="222"/>
      <c r="CF162" s="222"/>
      <c r="CG162" s="223"/>
      <c r="CH162" s="200"/>
      <c r="CI162" s="200"/>
      <c r="CJ162" s="312"/>
    </row>
    <row r="163" spans="1:88" ht="17.25" customHeight="1" x14ac:dyDescent="0.2">
      <c r="A163" s="4"/>
      <c r="B163" s="27"/>
      <c r="C163" s="28"/>
      <c r="D163" s="28" t="s">
        <v>126</v>
      </c>
      <c r="E163" s="29"/>
      <c r="F163" s="28"/>
      <c r="G163" s="30">
        <v>3145.97</v>
      </c>
      <c r="H163" s="31"/>
      <c r="I163" s="30">
        <v>15833.37</v>
      </c>
      <c r="J163" s="31"/>
      <c r="K163" s="30">
        <f>ROUND((G163-I163),5)</f>
        <v>-12687.4</v>
      </c>
      <c r="L163" s="31"/>
      <c r="M163" s="32">
        <f>ROUND(IF(I163=0, IF(G163=0, 0, 1), G163/I163),5)</f>
        <v>0.19869000000000001</v>
      </c>
      <c r="N163" s="31"/>
      <c r="O163" s="30">
        <v>25289.93</v>
      </c>
      <c r="P163" s="31"/>
      <c r="Q163" s="30">
        <v>15833.33</v>
      </c>
      <c r="R163" s="31"/>
      <c r="S163" s="30">
        <f>ROUND((O163-Q163),5)</f>
        <v>9456.6</v>
      </c>
      <c r="T163" s="31"/>
      <c r="U163" s="32">
        <f>ROUND(IF(Q163=0, IF(O163=0, 0, 1), O163/Q163),5)</f>
        <v>1.5972599999999999</v>
      </c>
      <c r="V163" s="31"/>
      <c r="W163" s="33">
        <v>13628.7</v>
      </c>
      <c r="X163" s="33"/>
      <c r="Y163" s="33">
        <v>15833.33</v>
      </c>
      <c r="Z163" s="33"/>
      <c r="AA163" s="33">
        <f>ROUND((W163-Y163),5)</f>
        <v>-2204.63</v>
      </c>
      <c r="AB163" s="33"/>
      <c r="AC163" s="33"/>
      <c r="AD163" s="34">
        <v>185000</v>
      </c>
      <c r="AE163" s="34"/>
      <c r="AF163" s="49">
        <v>168915.13</v>
      </c>
      <c r="AG163" s="50"/>
      <c r="AH163" s="51">
        <v>185000</v>
      </c>
      <c r="AI163" s="51"/>
      <c r="AJ163" s="51">
        <v>179083.66</v>
      </c>
      <c r="AK163" s="51"/>
      <c r="AL163" s="51">
        <v>190000</v>
      </c>
      <c r="AM163" s="51"/>
      <c r="AN163" s="51">
        <v>184459.4</v>
      </c>
      <c r="AO163" s="51"/>
      <c r="AP163" s="51">
        <v>67792.62</v>
      </c>
      <c r="AQ163" s="51"/>
      <c r="AR163" s="51">
        <f>ROUND(I163+Q163+Y163,5)</f>
        <v>47500.03</v>
      </c>
      <c r="AS163" s="51">
        <f t="shared" ref="AS163:AS176" si="145">AP163*2</f>
        <v>135585.24</v>
      </c>
      <c r="AT163" s="51"/>
      <c r="AU163" s="65"/>
      <c r="AV163" s="54">
        <v>190000</v>
      </c>
      <c r="AW163" s="55"/>
      <c r="AX163" s="56">
        <f t="shared" si="87"/>
        <v>-5540.6000000000058</v>
      </c>
      <c r="AY163" s="56"/>
      <c r="AZ163" s="54">
        <v>81957.55</v>
      </c>
      <c r="BA163" s="54"/>
      <c r="BB163" s="54"/>
      <c r="BC163" s="60"/>
      <c r="BD163" s="54">
        <f>188854.78+758.03</f>
        <v>189612.81</v>
      </c>
      <c r="BE163" s="54"/>
      <c r="BF163" s="54"/>
      <c r="BG163" s="54">
        <v>190000</v>
      </c>
      <c r="BH163" s="54"/>
      <c r="BI163" s="54">
        <v>204149.59</v>
      </c>
      <c r="BJ163" s="54"/>
      <c r="BK163" s="54">
        <v>185000</v>
      </c>
      <c r="BL163" s="54"/>
      <c r="BM163" s="58">
        <f t="shared" ref="BM163:BM175" si="146">BK163-BG163</f>
        <v>-5000</v>
      </c>
      <c r="BN163" s="58"/>
      <c r="BO163" s="54">
        <v>82618.53</v>
      </c>
      <c r="BP163" s="54"/>
      <c r="BQ163" s="66">
        <v>178543.15</v>
      </c>
      <c r="BR163" s="66"/>
      <c r="BS163" s="66">
        <f t="shared" si="118"/>
        <v>-6456.8500000000058</v>
      </c>
      <c r="BT163" s="58"/>
      <c r="BU163" s="54">
        <v>190000</v>
      </c>
      <c r="BV163" s="58"/>
      <c r="BW163" s="58">
        <f t="shared" si="141"/>
        <v>5000</v>
      </c>
      <c r="BX163" s="58"/>
      <c r="BY163" s="231" t="s">
        <v>204</v>
      </c>
      <c r="BZ163" s="115">
        <v>220870.09</v>
      </c>
      <c r="CA163" s="115"/>
      <c r="CB163" s="226">
        <v>190000</v>
      </c>
      <c r="CC163" s="226"/>
      <c r="CD163" s="226">
        <v>105039.88</v>
      </c>
      <c r="CE163" s="226"/>
      <c r="CF163" s="226">
        <v>174800</v>
      </c>
      <c r="CG163" s="227"/>
      <c r="CH163" s="61">
        <f t="shared" ref="CH163:CH164" si="147">CF163-CB163</f>
        <v>-15200</v>
      </c>
      <c r="CI163" s="200"/>
      <c r="CJ163" s="316" t="s">
        <v>311</v>
      </c>
    </row>
    <row r="164" spans="1:88" ht="15" customHeight="1" thickBot="1" x14ac:dyDescent="0.25">
      <c r="A164" s="4"/>
      <c r="B164" s="27"/>
      <c r="C164" s="28"/>
      <c r="D164" s="28" t="s">
        <v>127</v>
      </c>
      <c r="E164" s="29"/>
      <c r="F164" s="28"/>
      <c r="G164" s="68">
        <v>5869.13</v>
      </c>
      <c r="H164" s="31"/>
      <c r="I164" s="68">
        <v>9583.3700000000008</v>
      </c>
      <c r="J164" s="31"/>
      <c r="K164" s="68">
        <f>ROUND((G164-I164),5)</f>
        <v>-3714.24</v>
      </c>
      <c r="L164" s="31"/>
      <c r="M164" s="69">
        <f>ROUND(IF(I164=0, IF(G164=0, 0, 1), G164/I164),5)</f>
        <v>0.61243000000000003</v>
      </c>
      <c r="N164" s="31"/>
      <c r="O164" s="68">
        <v>6107.14</v>
      </c>
      <c r="P164" s="31"/>
      <c r="Q164" s="68">
        <v>9583.33</v>
      </c>
      <c r="R164" s="31"/>
      <c r="S164" s="68">
        <f>ROUND((O164-Q164),5)</f>
        <v>-3476.19</v>
      </c>
      <c r="T164" s="31"/>
      <c r="U164" s="69">
        <f>ROUND(IF(Q164=0, IF(O164=0, 0, 1), O164/Q164),5)</f>
        <v>0.63727</v>
      </c>
      <c r="V164" s="31"/>
      <c r="W164" s="33">
        <v>11947.23</v>
      </c>
      <c r="X164" s="33"/>
      <c r="Y164" s="33">
        <v>9583.33</v>
      </c>
      <c r="Z164" s="33"/>
      <c r="AA164" s="33">
        <f>ROUND((W164-Y164),5)</f>
        <v>2363.9</v>
      </c>
      <c r="AB164" s="33"/>
      <c r="AC164" s="33"/>
      <c r="AD164" s="34">
        <v>164000</v>
      </c>
      <c r="AE164" s="34"/>
      <c r="AF164" s="71">
        <v>162482.4</v>
      </c>
      <c r="AG164" s="72"/>
      <c r="AH164" s="73">
        <v>150000</v>
      </c>
      <c r="AI164" s="73"/>
      <c r="AJ164" s="73">
        <v>90522.98</v>
      </c>
      <c r="AK164" s="73"/>
      <c r="AL164" s="73">
        <v>115000</v>
      </c>
      <c r="AM164" s="73"/>
      <c r="AN164" s="73">
        <v>95399.84</v>
      </c>
      <c r="AO164" s="73"/>
      <c r="AP164" s="73">
        <v>49763.88</v>
      </c>
      <c r="AQ164" s="73"/>
      <c r="AR164" s="73">
        <f>ROUND(I164+Q164+Y164,5)</f>
        <v>28750.03</v>
      </c>
      <c r="AS164" s="73">
        <f t="shared" si="145"/>
        <v>99527.76</v>
      </c>
      <c r="AT164" s="73"/>
      <c r="AU164" s="116"/>
      <c r="AV164" s="93">
        <v>115000</v>
      </c>
      <c r="AW164" s="94"/>
      <c r="AX164" s="95">
        <f t="shared" si="87"/>
        <v>-19600.160000000003</v>
      </c>
      <c r="AY164" s="95"/>
      <c r="AZ164" s="93">
        <v>54363.12</v>
      </c>
      <c r="BA164" s="93"/>
      <c r="BB164" s="93"/>
      <c r="BC164" s="99"/>
      <c r="BD164" s="93">
        <v>127285.2</v>
      </c>
      <c r="BE164" s="93"/>
      <c r="BF164" s="93"/>
      <c r="BG164" s="93">
        <v>115000</v>
      </c>
      <c r="BH164" s="93"/>
      <c r="BI164" s="93">
        <f>142595.38+50</f>
        <v>142645.38</v>
      </c>
      <c r="BJ164" s="93"/>
      <c r="BK164" s="93">
        <v>140000</v>
      </c>
      <c r="BL164" s="93"/>
      <c r="BM164" s="101">
        <f t="shared" si="146"/>
        <v>25000</v>
      </c>
      <c r="BN164" s="101"/>
      <c r="BO164" s="93">
        <v>69768.78</v>
      </c>
      <c r="BP164" s="93"/>
      <c r="BQ164" s="102">
        <v>131582.6</v>
      </c>
      <c r="BR164" s="102"/>
      <c r="BS164" s="102">
        <f t="shared" si="118"/>
        <v>-8417.3999999999942</v>
      </c>
      <c r="BT164" s="101"/>
      <c r="BU164" s="93">
        <v>140000</v>
      </c>
      <c r="BV164" s="101"/>
      <c r="BW164" s="101">
        <f t="shared" si="141"/>
        <v>0</v>
      </c>
      <c r="BX164" s="58"/>
      <c r="BY164" s="231" t="s">
        <v>297</v>
      </c>
      <c r="BZ164" s="102">
        <v>138223.46</v>
      </c>
      <c r="CA164" s="109"/>
      <c r="CB164" s="104">
        <v>145000</v>
      </c>
      <c r="CC164" s="104"/>
      <c r="CD164" s="104">
        <v>72570.539999999994</v>
      </c>
      <c r="CE164" s="104"/>
      <c r="CF164" s="104">
        <v>130500</v>
      </c>
      <c r="CG164" s="107"/>
      <c r="CH164" s="103">
        <f t="shared" si="147"/>
        <v>-14500</v>
      </c>
      <c r="CI164" s="129"/>
      <c r="CJ164" s="320" t="s">
        <v>312</v>
      </c>
    </row>
    <row r="165" spans="1:88" ht="15" customHeight="1" thickBot="1" x14ac:dyDescent="0.25">
      <c r="A165" s="4"/>
      <c r="B165" s="27"/>
      <c r="C165" s="28" t="s">
        <v>128</v>
      </c>
      <c r="D165" s="28"/>
      <c r="E165" s="29"/>
      <c r="F165" s="28"/>
      <c r="G165" s="30">
        <f>ROUND(SUM(G162:G164),5)</f>
        <v>9015.1</v>
      </c>
      <c r="H165" s="31"/>
      <c r="I165" s="30">
        <f>ROUND(SUM(I162:I164),5)</f>
        <v>25416.74</v>
      </c>
      <c r="J165" s="31"/>
      <c r="K165" s="30">
        <f>ROUND((G165-I165),5)</f>
        <v>-16401.64</v>
      </c>
      <c r="L165" s="31"/>
      <c r="M165" s="32">
        <f>ROUND(IF(I165=0, IF(G165=0, 0, 1), G165/I165),5)</f>
        <v>0.35469000000000001</v>
      </c>
      <c r="N165" s="31"/>
      <c r="O165" s="30">
        <f>ROUND(SUM(O162:O164),5)</f>
        <v>31397.07</v>
      </c>
      <c r="P165" s="31"/>
      <c r="Q165" s="30">
        <f>ROUND(SUM(Q162:Q164),5)</f>
        <v>25416.66</v>
      </c>
      <c r="R165" s="31"/>
      <c r="S165" s="30">
        <f>ROUND((O165-Q165),5)</f>
        <v>5980.41</v>
      </c>
      <c r="T165" s="31"/>
      <c r="U165" s="32">
        <f>ROUND(IF(Q165=0, IF(O165=0, 0, 1), O165/Q165),5)</f>
        <v>1.23529</v>
      </c>
      <c r="V165" s="31"/>
      <c r="W165" s="76">
        <f>SUM(W163:W164)</f>
        <v>25575.93</v>
      </c>
      <c r="X165" s="76"/>
      <c r="Y165" s="76">
        <f>SUM(Y163:Y164)</f>
        <v>25416.66</v>
      </c>
      <c r="Z165" s="76"/>
      <c r="AA165" s="76">
        <f>ROUND((W165-Y165),5)</f>
        <v>159.27000000000001</v>
      </c>
      <c r="AB165" s="76"/>
      <c r="AC165" s="76"/>
      <c r="AD165" s="194">
        <f>AD163+AD164</f>
        <v>349000</v>
      </c>
      <c r="AE165" s="194"/>
      <c r="AF165" s="195">
        <f>AF163+AF164</f>
        <v>331397.53000000003</v>
      </c>
      <c r="AG165" s="81"/>
      <c r="AH165" s="230">
        <f>AH163+AH164</f>
        <v>335000</v>
      </c>
      <c r="AI165" s="230"/>
      <c r="AJ165" s="41">
        <v>269606.64</v>
      </c>
      <c r="AK165" s="230"/>
      <c r="AL165" s="41">
        <f>SUM(AL163:AL164)</f>
        <v>305000</v>
      </c>
      <c r="AM165" s="41"/>
      <c r="AN165" s="41">
        <f>AN163+AN164</f>
        <v>279859.24</v>
      </c>
      <c r="AO165" s="41"/>
      <c r="AP165" s="41">
        <f>SUM(AP163:AP164)</f>
        <v>117556.5</v>
      </c>
      <c r="AQ165" s="41"/>
      <c r="AR165" s="41">
        <f>SUM(AR163:AR164)</f>
        <v>76250.06</v>
      </c>
      <c r="AS165" s="41">
        <f t="shared" si="145"/>
        <v>235113</v>
      </c>
      <c r="AT165" s="41"/>
      <c r="AU165" s="42"/>
      <c r="AV165" s="79">
        <f>AV163+AV164</f>
        <v>305000</v>
      </c>
      <c r="AW165" s="80"/>
      <c r="AX165" s="81">
        <f t="shared" si="87"/>
        <v>-25140.760000000009</v>
      </c>
      <c r="AY165" s="81"/>
      <c r="AZ165" s="79">
        <f>AZ163+AZ164</f>
        <v>136320.67000000001</v>
      </c>
      <c r="BA165" s="79"/>
      <c r="BB165" s="79"/>
      <c r="BC165" s="83"/>
      <c r="BD165" s="79">
        <f>SUM(BD163:BD164)</f>
        <v>316898.01</v>
      </c>
      <c r="BE165" s="79"/>
      <c r="BF165" s="79"/>
      <c r="BG165" s="79">
        <f>SUM(BG163:BG164)</f>
        <v>305000</v>
      </c>
      <c r="BH165" s="79"/>
      <c r="BI165" s="79">
        <f>SUM(BI163:BI164)</f>
        <v>346794.97</v>
      </c>
      <c r="BJ165" s="79"/>
      <c r="BK165" s="79">
        <f>BK163+BK164</f>
        <v>325000</v>
      </c>
      <c r="BL165" s="79"/>
      <c r="BM165" s="84">
        <f t="shared" si="146"/>
        <v>20000</v>
      </c>
      <c r="BN165" s="84"/>
      <c r="BO165" s="79">
        <f>BO163+BO164</f>
        <v>152387.31</v>
      </c>
      <c r="BP165" s="79"/>
      <c r="BQ165" s="85">
        <f>SUM(BQ163:BQ164)</f>
        <v>310125.75</v>
      </c>
      <c r="BR165" s="85"/>
      <c r="BS165" s="85">
        <f t="shared" si="118"/>
        <v>-14874.25</v>
      </c>
      <c r="BT165" s="84"/>
      <c r="BU165" s="79">
        <f>SUM(BU163:BU164)</f>
        <v>330000</v>
      </c>
      <c r="BV165" s="84"/>
      <c r="BW165" s="84">
        <f t="shared" si="141"/>
        <v>5000</v>
      </c>
      <c r="BX165" s="58"/>
      <c r="BY165" s="91"/>
      <c r="BZ165" s="83">
        <f>SUM(BZ163:BZ164)</f>
        <v>359093.55</v>
      </c>
      <c r="CA165" s="83"/>
      <c r="CB165" s="213">
        <f>SUM(CB163:CB164)</f>
        <v>335000</v>
      </c>
      <c r="CC165" s="213"/>
      <c r="CD165" s="213">
        <f>SUM(CD163:CD164)</f>
        <v>177610.41999999998</v>
      </c>
      <c r="CE165" s="213"/>
      <c r="CF165" s="213">
        <f>SUM(CF163:CF164)</f>
        <v>305300</v>
      </c>
      <c r="CG165" s="198"/>
      <c r="CH165" s="199">
        <f>CB165-BU165</f>
        <v>5000</v>
      </c>
      <c r="CI165" s="199"/>
      <c r="CJ165" s="311"/>
    </row>
    <row r="166" spans="1:88" ht="14.25" customHeight="1" x14ac:dyDescent="0.2">
      <c r="A166" s="4"/>
      <c r="B166" s="27"/>
      <c r="C166" s="28" t="s">
        <v>158</v>
      </c>
      <c r="D166" s="28"/>
      <c r="E166" s="29"/>
      <c r="F166" s="28"/>
      <c r="G166" s="30">
        <v>0</v>
      </c>
      <c r="H166" s="31"/>
      <c r="I166" s="30">
        <v>250</v>
      </c>
      <c r="J166" s="31"/>
      <c r="K166" s="30">
        <f>ROUND((G166-I166),5)</f>
        <v>-250</v>
      </c>
      <c r="L166" s="31"/>
      <c r="M166" s="32">
        <f>ROUND(IF(I166=0, IF(G166=0, 0, 1), G166/I166),5)</f>
        <v>0</v>
      </c>
      <c r="N166" s="31"/>
      <c r="O166" s="30">
        <v>0</v>
      </c>
      <c r="P166" s="31"/>
      <c r="Q166" s="30">
        <v>250</v>
      </c>
      <c r="R166" s="31"/>
      <c r="S166" s="30">
        <f>ROUND((O166-Q166),5)</f>
        <v>-250</v>
      </c>
      <c r="T166" s="31"/>
      <c r="U166" s="32">
        <f>ROUND(IF(Q166=0, IF(O166=0, 0, 1), O166/Q166),5)</f>
        <v>0</v>
      </c>
      <c r="V166" s="31"/>
      <c r="W166" s="33">
        <v>0</v>
      </c>
      <c r="X166" s="33"/>
      <c r="Y166" s="33">
        <v>250</v>
      </c>
      <c r="Z166" s="33"/>
      <c r="AA166" s="33">
        <f>ROUND((W166-Y166),5)</f>
        <v>-250</v>
      </c>
      <c r="AB166" s="33"/>
      <c r="AC166" s="33"/>
      <c r="AD166" s="34">
        <v>0</v>
      </c>
      <c r="AE166" s="34"/>
      <c r="AF166" s="49"/>
      <c r="AG166" s="50"/>
      <c r="AH166" s="51">
        <v>0</v>
      </c>
      <c r="AI166" s="51"/>
      <c r="AJ166" s="51">
        <v>2409.5</v>
      </c>
      <c r="AK166" s="51"/>
      <c r="AL166" s="51">
        <v>3000</v>
      </c>
      <c r="AM166" s="51"/>
      <c r="AN166" s="51">
        <v>708.46</v>
      </c>
      <c r="AO166" s="51"/>
      <c r="AP166" s="51">
        <f>ROUND(G166+O166+W166,5)</f>
        <v>0</v>
      </c>
      <c r="AQ166" s="51"/>
      <c r="AR166" s="51">
        <f>ROUND(I166+Q166+Y166,5)</f>
        <v>750</v>
      </c>
      <c r="AS166" s="51">
        <f t="shared" si="145"/>
        <v>0</v>
      </c>
      <c r="AT166" s="51"/>
      <c r="AU166" s="65"/>
      <c r="AV166" s="54">
        <v>3000</v>
      </c>
      <c r="AW166" s="55"/>
      <c r="AX166" s="232">
        <f t="shared" si="87"/>
        <v>-2291.54</v>
      </c>
      <c r="AY166" s="232"/>
      <c r="AZ166" s="54">
        <v>180.64699999999999</v>
      </c>
      <c r="BA166" s="54"/>
      <c r="BB166" s="54"/>
      <c r="BC166" s="60"/>
      <c r="BD166" s="54">
        <v>2333.67</v>
      </c>
      <c r="BE166" s="54"/>
      <c r="BF166" s="54"/>
      <c r="BG166" s="54">
        <v>3000</v>
      </c>
      <c r="BH166" s="54"/>
      <c r="BI166" s="54">
        <v>3047.87</v>
      </c>
      <c r="BJ166" s="54"/>
      <c r="BK166" s="54">
        <v>5000</v>
      </c>
      <c r="BL166" s="54"/>
      <c r="BM166" s="58">
        <f t="shared" si="146"/>
        <v>2000</v>
      </c>
      <c r="BN166" s="58"/>
      <c r="BO166" s="54">
        <v>4228.84</v>
      </c>
      <c r="BP166" s="54"/>
      <c r="BQ166" s="66">
        <v>4633.34</v>
      </c>
      <c r="BR166" s="66"/>
      <c r="BS166" s="66">
        <f t="shared" si="118"/>
        <v>-366.65999999999985</v>
      </c>
      <c r="BT166" s="58"/>
      <c r="BU166" s="54">
        <v>5000</v>
      </c>
      <c r="BV166" s="58"/>
      <c r="BW166" s="58">
        <f t="shared" si="141"/>
        <v>0</v>
      </c>
      <c r="BX166" s="58"/>
      <c r="BY166" s="216" t="s">
        <v>298</v>
      </c>
      <c r="BZ166" s="115">
        <v>2027.7</v>
      </c>
      <c r="CA166" s="115"/>
      <c r="CB166" s="226">
        <v>5000</v>
      </c>
      <c r="CC166" s="226"/>
      <c r="CD166" s="226">
        <v>3068.2</v>
      </c>
      <c r="CE166" s="226"/>
      <c r="CF166" s="226">
        <v>4000</v>
      </c>
      <c r="CG166" s="227"/>
      <c r="CH166" s="61">
        <f t="shared" ref="CH166:CH183" si="148">CF166-CB166</f>
        <v>-1000</v>
      </c>
      <c r="CI166" s="200"/>
      <c r="CJ166" s="313" t="s">
        <v>299</v>
      </c>
    </row>
    <row r="167" spans="1:88" ht="14.25" customHeight="1" x14ac:dyDescent="0.2">
      <c r="A167" s="4"/>
      <c r="B167" s="27"/>
      <c r="C167" s="28" t="s">
        <v>129</v>
      </c>
      <c r="D167" s="28"/>
      <c r="E167" s="29"/>
      <c r="F167" s="28"/>
      <c r="G167" s="30"/>
      <c r="H167" s="31"/>
      <c r="I167" s="30"/>
      <c r="J167" s="31"/>
      <c r="K167" s="30"/>
      <c r="L167" s="31"/>
      <c r="M167" s="32"/>
      <c r="N167" s="31"/>
      <c r="O167" s="30"/>
      <c r="P167" s="31"/>
      <c r="Q167" s="30"/>
      <c r="R167" s="31"/>
      <c r="S167" s="30"/>
      <c r="T167" s="31"/>
      <c r="U167" s="32"/>
      <c r="V167" s="31"/>
      <c r="W167" s="33"/>
      <c r="X167" s="33"/>
      <c r="Y167" s="33"/>
      <c r="Z167" s="33"/>
      <c r="AA167" s="33"/>
      <c r="AB167" s="33"/>
      <c r="AC167" s="33"/>
      <c r="AD167" s="34">
        <v>0</v>
      </c>
      <c r="AE167" s="34"/>
      <c r="AF167" s="49">
        <v>0</v>
      </c>
      <c r="AG167" s="50"/>
      <c r="AH167" s="51">
        <v>0</v>
      </c>
      <c r="AI167" s="51"/>
      <c r="AJ167" s="51">
        <v>0</v>
      </c>
      <c r="AK167" s="51"/>
      <c r="AL167" s="51">
        <v>10000</v>
      </c>
      <c r="AM167" s="51"/>
      <c r="AN167" s="51">
        <v>0</v>
      </c>
      <c r="AO167" s="51"/>
      <c r="AP167" s="51"/>
      <c r="AQ167" s="51"/>
      <c r="AR167" s="51"/>
      <c r="AS167" s="51">
        <f t="shared" si="145"/>
        <v>0</v>
      </c>
      <c r="AT167" s="51"/>
      <c r="AU167" s="65"/>
      <c r="AV167" s="54">
        <v>10000</v>
      </c>
      <c r="AW167" s="55"/>
      <c r="AX167" s="56">
        <f t="shared" si="87"/>
        <v>-10000</v>
      </c>
      <c r="AY167" s="56"/>
      <c r="AZ167" s="54">
        <v>0</v>
      </c>
      <c r="BA167" s="54"/>
      <c r="BB167" s="54"/>
      <c r="BC167" s="60"/>
      <c r="BD167" s="54">
        <f t="shared" ref="BD167:BD172" si="149">AZ167*2</f>
        <v>0</v>
      </c>
      <c r="BE167" s="54"/>
      <c r="BF167" s="54"/>
      <c r="BG167" s="54">
        <v>10000</v>
      </c>
      <c r="BH167" s="54"/>
      <c r="BI167" s="54"/>
      <c r="BJ167" s="54"/>
      <c r="BK167" s="54">
        <v>0</v>
      </c>
      <c r="BL167" s="54"/>
      <c r="BM167" s="58">
        <f t="shared" si="146"/>
        <v>-10000</v>
      </c>
      <c r="BN167" s="58"/>
      <c r="BO167" s="54"/>
      <c r="BP167" s="54"/>
      <c r="BQ167" s="66">
        <f t="shared" si="129"/>
        <v>0</v>
      </c>
      <c r="BR167" s="66"/>
      <c r="BS167" s="66">
        <f t="shared" si="118"/>
        <v>0</v>
      </c>
      <c r="BT167" s="58"/>
      <c r="BU167" s="54"/>
      <c r="BV167" s="58"/>
      <c r="BW167" s="58">
        <f t="shared" si="141"/>
        <v>0</v>
      </c>
      <c r="BX167" s="58"/>
      <c r="BY167" s="91"/>
      <c r="BZ167" s="115">
        <f t="shared" ref="BZ167:BZ172" si="150">BX167*2</f>
        <v>0</v>
      </c>
      <c r="CA167" s="115"/>
      <c r="CB167" s="226">
        <v>48000</v>
      </c>
      <c r="CC167" s="226"/>
      <c r="CD167" s="226"/>
      <c r="CE167" s="226"/>
      <c r="CF167" s="226">
        <v>48000</v>
      </c>
      <c r="CG167" s="227"/>
      <c r="CH167" s="61">
        <f t="shared" si="148"/>
        <v>0</v>
      </c>
      <c r="CI167" s="200"/>
      <c r="CJ167" s="321" t="s">
        <v>224</v>
      </c>
    </row>
    <row r="168" spans="1:88" ht="20.25" hidden="1" customHeight="1" x14ac:dyDescent="0.2">
      <c r="A168" s="4"/>
      <c r="B168" s="27"/>
      <c r="C168" s="28"/>
      <c r="D168" s="63"/>
      <c r="E168" s="29"/>
      <c r="F168" s="28"/>
      <c r="G168" s="30"/>
      <c r="H168" s="31"/>
      <c r="I168" s="30"/>
      <c r="J168" s="31"/>
      <c r="K168" s="30"/>
      <c r="L168" s="31"/>
      <c r="M168" s="32"/>
      <c r="N168" s="31"/>
      <c r="O168" s="30"/>
      <c r="P168" s="31"/>
      <c r="Q168" s="30"/>
      <c r="R168" s="31"/>
      <c r="S168" s="30"/>
      <c r="T168" s="31"/>
      <c r="U168" s="32"/>
      <c r="V168" s="31"/>
      <c r="W168" s="33"/>
      <c r="X168" s="33"/>
      <c r="Y168" s="33"/>
      <c r="Z168" s="33"/>
      <c r="AA168" s="33"/>
      <c r="AB168" s="33"/>
      <c r="AC168" s="33"/>
      <c r="AD168" s="34">
        <v>30000</v>
      </c>
      <c r="AE168" s="34"/>
      <c r="AF168" s="49"/>
      <c r="AG168" s="50"/>
      <c r="AH168" s="51"/>
      <c r="AI168" s="51"/>
      <c r="AJ168" s="51"/>
      <c r="AK168" s="51"/>
      <c r="AL168" s="51"/>
      <c r="AM168" s="51"/>
      <c r="AN168" s="51"/>
      <c r="AO168" s="51"/>
      <c r="AP168" s="51"/>
      <c r="AQ168" s="51"/>
      <c r="AR168" s="51"/>
      <c r="AS168" s="51">
        <f t="shared" si="145"/>
        <v>0</v>
      </c>
      <c r="AT168" s="51"/>
      <c r="AU168" s="65"/>
      <c r="AV168" s="54"/>
      <c r="AW168" s="55"/>
      <c r="AX168" s="56">
        <f t="shared" si="87"/>
        <v>0</v>
      </c>
      <c r="AY168" s="56"/>
      <c r="AZ168" s="54"/>
      <c r="BA168" s="54"/>
      <c r="BB168" s="54"/>
      <c r="BC168" s="60"/>
      <c r="BD168" s="54">
        <f t="shared" si="149"/>
        <v>0</v>
      </c>
      <c r="BE168" s="54"/>
      <c r="BF168" s="54"/>
      <c r="BG168" s="54"/>
      <c r="BH168" s="54"/>
      <c r="BI168" s="54"/>
      <c r="BJ168" s="54"/>
      <c r="BK168" s="54"/>
      <c r="BL168" s="54"/>
      <c r="BM168" s="58">
        <f t="shared" si="146"/>
        <v>0</v>
      </c>
      <c r="BN168" s="58"/>
      <c r="BO168" s="54"/>
      <c r="BP168" s="54"/>
      <c r="BQ168" s="66">
        <f t="shared" si="129"/>
        <v>0</v>
      </c>
      <c r="BR168" s="66"/>
      <c r="BS168" s="66">
        <f t="shared" si="118"/>
        <v>0</v>
      </c>
      <c r="BT168" s="58"/>
      <c r="BU168" s="54">
        <f>BM168-BI168</f>
        <v>0</v>
      </c>
      <c r="BV168" s="58"/>
      <c r="BW168" s="58">
        <f t="shared" si="141"/>
        <v>0</v>
      </c>
      <c r="BX168" s="58"/>
      <c r="BY168" s="91"/>
      <c r="BZ168" s="115">
        <f t="shared" si="150"/>
        <v>0</v>
      </c>
      <c r="CA168" s="115"/>
      <c r="CB168" s="226">
        <v>15000</v>
      </c>
      <c r="CC168" s="226"/>
      <c r="CD168" s="226"/>
      <c r="CE168" s="226"/>
      <c r="CF168" s="226">
        <v>15000</v>
      </c>
      <c r="CG168" s="227"/>
      <c r="CH168" s="61">
        <f t="shared" si="148"/>
        <v>0</v>
      </c>
      <c r="CI168" s="200"/>
      <c r="CJ168" s="321" t="s">
        <v>225</v>
      </c>
    </row>
    <row r="169" spans="1:88" ht="20.25" hidden="1" customHeight="1" x14ac:dyDescent="0.2">
      <c r="A169" s="4"/>
      <c r="B169" s="27"/>
      <c r="C169" s="28"/>
      <c r="D169" s="28"/>
      <c r="E169" s="29" t="s">
        <v>131</v>
      </c>
      <c r="F169" s="28"/>
      <c r="G169" s="30">
        <v>0</v>
      </c>
      <c r="H169" s="31"/>
      <c r="I169" s="30">
        <v>208.37</v>
      </c>
      <c r="J169" s="31"/>
      <c r="K169" s="30">
        <f>ROUND((G169-I169),5)</f>
        <v>-208.37</v>
      </c>
      <c r="L169" s="31"/>
      <c r="M169" s="32">
        <f>ROUND(IF(I169=0, IF(G169=0, 0, 1), G169/I169),5)</f>
        <v>0</v>
      </c>
      <c r="N169" s="31"/>
      <c r="O169" s="30">
        <v>0</v>
      </c>
      <c r="P169" s="31"/>
      <c r="Q169" s="30">
        <v>208.33</v>
      </c>
      <c r="R169" s="31"/>
      <c r="S169" s="30">
        <f>ROUND((O169-Q169),5)</f>
        <v>-208.33</v>
      </c>
      <c r="T169" s="31"/>
      <c r="U169" s="32">
        <f>ROUND(IF(Q169=0, IF(O169=0, 0, 1), O169/Q169),5)</f>
        <v>0</v>
      </c>
      <c r="V169" s="31"/>
      <c r="W169" s="33">
        <v>0</v>
      </c>
      <c r="X169" s="33"/>
      <c r="Y169" s="33">
        <v>208.33</v>
      </c>
      <c r="Z169" s="33"/>
      <c r="AA169" s="33">
        <f>ROUND((W169-Y169),5)</f>
        <v>-208.33</v>
      </c>
      <c r="AB169" s="33"/>
      <c r="AC169" s="33"/>
      <c r="AD169" s="34"/>
      <c r="AE169" s="34"/>
      <c r="AF169" s="49"/>
      <c r="AG169" s="50"/>
      <c r="AH169" s="51"/>
      <c r="AI169" s="51"/>
      <c r="AJ169" s="51"/>
      <c r="AK169" s="51"/>
      <c r="AL169" s="51">
        <v>2500</v>
      </c>
      <c r="AM169" s="51"/>
      <c r="AN169" s="51">
        <f>AP169*4</f>
        <v>0</v>
      </c>
      <c r="AO169" s="51"/>
      <c r="AP169" s="51">
        <f>ROUND(G169+O169+W169,5)</f>
        <v>0</v>
      </c>
      <c r="AQ169" s="51"/>
      <c r="AR169" s="51">
        <f>ROUND(I169+Q169+Y169,5)</f>
        <v>625.03</v>
      </c>
      <c r="AS169" s="51">
        <f t="shared" si="145"/>
        <v>0</v>
      </c>
      <c r="AT169" s="51"/>
      <c r="AU169" s="65"/>
      <c r="AV169" s="54"/>
      <c r="AW169" s="55"/>
      <c r="AX169" s="56">
        <f t="shared" si="87"/>
        <v>-2500</v>
      </c>
      <c r="AY169" s="56"/>
      <c r="AZ169" s="54"/>
      <c r="BA169" s="54"/>
      <c r="BB169" s="54"/>
      <c r="BC169" s="60"/>
      <c r="BD169" s="54">
        <f t="shared" si="149"/>
        <v>0</v>
      </c>
      <c r="BE169" s="54"/>
      <c r="BF169" s="54"/>
      <c r="BG169" s="54"/>
      <c r="BH169" s="54"/>
      <c r="BI169" s="54"/>
      <c r="BJ169" s="54"/>
      <c r="BK169" s="54"/>
      <c r="BL169" s="54"/>
      <c r="BM169" s="58">
        <f t="shared" si="146"/>
        <v>0</v>
      </c>
      <c r="BN169" s="58"/>
      <c r="BO169" s="54"/>
      <c r="BP169" s="54"/>
      <c r="BQ169" s="66">
        <f t="shared" si="129"/>
        <v>0</v>
      </c>
      <c r="BR169" s="66"/>
      <c r="BS169" s="66">
        <f t="shared" si="118"/>
        <v>0</v>
      </c>
      <c r="BT169" s="58"/>
      <c r="BU169" s="54">
        <f>BM169-BI169</f>
        <v>0</v>
      </c>
      <c r="BV169" s="58"/>
      <c r="BW169" s="58">
        <f t="shared" si="141"/>
        <v>0</v>
      </c>
      <c r="BX169" s="58"/>
      <c r="BY169" s="91"/>
      <c r="BZ169" s="115">
        <f t="shared" si="150"/>
        <v>0</v>
      </c>
      <c r="CA169" s="115"/>
      <c r="CB169" s="226">
        <v>33000</v>
      </c>
      <c r="CC169" s="226"/>
      <c r="CD169" s="226"/>
      <c r="CE169" s="226"/>
      <c r="CF169" s="226">
        <v>33000</v>
      </c>
      <c r="CG169" s="227"/>
      <c r="CH169" s="61">
        <f t="shared" si="148"/>
        <v>0</v>
      </c>
      <c r="CI169" s="200"/>
      <c r="CJ169" s="321" t="s">
        <v>226</v>
      </c>
    </row>
    <row r="170" spans="1:88" ht="20.25" hidden="1" customHeight="1" x14ac:dyDescent="0.2">
      <c r="A170" s="4"/>
      <c r="B170" s="27"/>
      <c r="C170" s="28"/>
      <c r="D170" s="28"/>
      <c r="E170" s="29" t="s">
        <v>132</v>
      </c>
      <c r="F170" s="28"/>
      <c r="G170" s="30">
        <v>659.05</v>
      </c>
      <c r="H170" s="31"/>
      <c r="I170" s="30">
        <v>125</v>
      </c>
      <c r="J170" s="31"/>
      <c r="K170" s="30">
        <f>ROUND((G170-I170),5)</f>
        <v>534.04999999999995</v>
      </c>
      <c r="L170" s="31"/>
      <c r="M170" s="32">
        <f>ROUND(IF(I170=0, IF(G170=0, 0, 1), G170/I170),5)</f>
        <v>5.2724000000000002</v>
      </c>
      <c r="N170" s="31"/>
      <c r="O170" s="30">
        <v>0</v>
      </c>
      <c r="P170" s="31"/>
      <c r="Q170" s="30">
        <v>125</v>
      </c>
      <c r="R170" s="31"/>
      <c r="S170" s="30">
        <f>ROUND((O170-Q170),5)</f>
        <v>-125</v>
      </c>
      <c r="T170" s="31"/>
      <c r="U170" s="32">
        <f>ROUND(IF(Q170=0, IF(O170=0, 0, 1), O170/Q170),5)</f>
        <v>0</v>
      </c>
      <c r="V170" s="31"/>
      <c r="W170" s="33">
        <v>53.79</v>
      </c>
      <c r="X170" s="33"/>
      <c r="Y170" s="33">
        <v>0</v>
      </c>
      <c r="Z170" s="33"/>
      <c r="AA170" s="33">
        <f>ROUND((W170-Y170),5)</f>
        <v>53.79</v>
      </c>
      <c r="AB170" s="33"/>
      <c r="AC170" s="33"/>
      <c r="AD170" s="34"/>
      <c r="AE170" s="34"/>
      <c r="AF170" s="49"/>
      <c r="AG170" s="50"/>
      <c r="AH170" s="51"/>
      <c r="AI170" s="51"/>
      <c r="AJ170" s="51"/>
      <c r="AK170" s="51"/>
      <c r="AL170" s="51">
        <v>500</v>
      </c>
      <c r="AM170" s="51"/>
      <c r="AN170" s="51">
        <f>AP170*4</f>
        <v>2851.36</v>
      </c>
      <c r="AO170" s="51"/>
      <c r="AP170" s="51">
        <f>ROUND(G170+O170+W170,5)</f>
        <v>712.84</v>
      </c>
      <c r="AQ170" s="51"/>
      <c r="AR170" s="51">
        <f>ROUND(I170+Q170+Y170,5)</f>
        <v>250</v>
      </c>
      <c r="AS170" s="51">
        <f t="shared" si="145"/>
        <v>1425.68</v>
      </c>
      <c r="AT170" s="51"/>
      <c r="AU170" s="65"/>
      <c r="AV170" s="54"/>
      <c r="AW170" s="55"/>
      <c r="AX170" s="56">
        <f t="shared" si="87"/>
        <v>2351.36</v>
      </c>
      <c r="AY170" s="56"/>
      <c r="AZ170" s="54"/>
      <c r="BA170" s="54"/>
      <c r="BB170" s="54"/>
      <c r="BC170" s="60"/>
      <c r="BD170" s="54">
        <f t="shared" si="149"/>
        <v>0</v>
      </c>
      <c r="BE170" s="54"/>
      <c r="BF170" s="54"/>
      <c r="BG170" s="54"/>
      <c r="BH170" s="54"/>
      <c r="BI170" s="54"/>
      <c r="BJ170" s="54"/>
      <c r="BK170" s="54"/>
      <c r="BL170" s="54"/>
      <c r="BM170" s="58">
        <f t="shared" si="146"/>
        <v>0</v>
      </c>
      <c r="BN170" s="58"/>
      <c r="BO170" s="54"/>
      <c r="BP170" s="54"/>
      <c r="BQ170" s="66">
        <f t="shared" si="129"/>
        <v>0</v>
      </c>
      <c r="BR170" s="66"/>
      <c r="BS170" s="66">
        <f t="shared" si="118"/>
        <v>0</v>
      </c>
      <c r="BT170" s="58"/>
      <c r="BU170" s="54">
        <f>BM170-BI170</f>
        <v>0</v>
      </c>
      <c r="BV170" s="58"/>
      <c r="BW170" s="58">
        <f t="shared" si="141"/>
        <v>0</v>
      </c>
      <c r="BX170" s="58"/>
      <c r="BY170" s="91"/>
      <c r="BZ170" s="115">
        <f t="shared" si="150"/>
        <v>0</v>
      </c>
      <c r="CA170" s="115"/>
      <c r="CB170" s="54">
        <f t="shared" ref="CB170:CB172" si="151">BS170-BO170</f>
        <v>0</v>
      </c>
      <c r="CC170" s="54"/>
      <c r="CD170" s="54"/>
      <c r="CE170" s="54"/>
      <c r="CF170" s="54">
        <f>BU170-BQ170</f>
        <v>0</v>
      </c>
      <c r="CG170" s="60"/>
      <c r="CH170" s="61">
        <f t="shared" si="148"/>
        <v>0</v>
      </c>
      <c r="CI170" s="200"/>
      <c r="CJ170" s="301"/>
    </row>
    <row r="171" spans="1:88" ht="20.25" hidden="1" customHeight="1" x14ac:dyDescent="0.2">
      <c r="A171" s="4"/>
      <c r="B171" s="27"/>
      <c r="C171" s="28"/>
      <c r="D171" s="28"/>
      <c r="E171" s="29" t="s">
        <v>149</v>
      </c>
      <c r="F171" s="28"/>
      <c r="G171" s="30"/>
      <c r="H171" s="31"/>
      <c r="I171" s="30"/>
      <c r="J171" s="31"/>
      <c r="K171" s="30"/>
      <c r="L171" s="31"/>
      <c r="M171" s="32"/>
      <c r="N171" s="31"/>
      <c r="O171" s="30"/>
      <c r="P171" s="31"/>
      <c r="Q171" s="30"/>
      <c r="R171" s="31"/>
      <c r="S171" s="30"/>
      <c r="T171" s="31"/>
      <c r="U171" s="32"/>
      <c r="V171" s="31"/>
      <c r="W171" s="33">
        <v>0</v>
      </c>
      <c r="X171" s="33"/>
      <c r="Y171" s="33">
        <v>0</v>
      </c>
      <c r="Z171" s="33"/>
      <c r="AA171" s="33"/>
      <c r="AB171" s="33"/>
      <c r="AC171" s="33"/>
      <c r="AD171" s="34"/>
      <c r="AE171" s="34"/>
      <c r="AF171" s="49"/>
      <c r="AG171" s="50"/>
      <c r="AH171" s="51"/>
      <c r="AI171" s="51"/>
      <c r="AJ171" s="51"/>
      <c r="AK171" s="51"/>
      <c r="AL171" s="51">
        <v>4000</v>
      </c>
      <c r="AM171" s="51"/>
      <c r="AN171" s="51">
        <f>AP171*4</f>
        <v>0</v>
      </c>
      <c r="AO171" s="51"/>
      <c r="AP171" s="51">
        <v>0</v>
      </c>
      <c r="AQ171" s="51"/>
      <c r="AR171" s="51">
        <v>0</v>
      </c>
      <c r="AS171" s="51">
        <f t="shared" si="145"/>
        <v>0</v>
      </c>
      <c r="AT171" s="51"/>
      <c r="AU171" s="65"/>
      <c r="AV171" s="54"/>
      <c r="AW171" s="55"/>
      <c r="AX171" s="56">
        <f t="shared" si="87"/>
        <v>-4000</v>
      </c>
      <c r="AY171" s="56"/>
      <c r="AZ171" s="54"/>
      <c r="BA171" s="54"/>
      <c r="BB171" s="54"/>
      <c r="BC171" s="60"/>
      <c r="BD171" s="54">
        <f t="shared" si="149"/>
        <v>0</v>
      </c>
      <c r="BE171" s="54"/>
      <c r="BF171" s="54"/>
      <c r="BG171" s="54"/>
      <c r="BH171" s="54"/>
      <c r="BI171" s="54"/>
      <c r="BJ171" s="54"/>
      <c r="BK171" s="54"/>
      <c r="BL171" s="54"/>
      <c r="BM171" s="58">
        <f t="shared" si="146"/>
        <v>0</v>
      </c>
      <c r="BN171" s="58"/>
      <c r="BO171" s="54"/>
      <c r="BP171" s="54"/>
      <c r="BQ171" s="66">
        <f t="shared" si="129"/>
        <v>0</v>
      </c>
      <c r="BR171" s="66"/>
      <c r="BS171" s="66">
        <f t="shared" si="118"/>
        <v>0</v>
      </c>
      <c r="BT171" s="58"/>
      <c r="BU171" s="54">
        <f>BM171-BI171</f>
        <v>0</v>
      </c>
      <c r="BV171" s="58"/>
      <c r="BW171" s="58">
        <f t="shared" si="141"/>
        <v>0</v>
      </c>
      <c r="BX171" s="58"/>
      <c r="BY171" s="91"/>
      <c r="BZ171" s="115">
        <f t="shared" si="150"/>
        <v>0</v>
      </c>
      <c r="CA171" s="115"/>
      <c r="CB171" s="54">
        <f t="shared" si="151"/>
        <v>0</v>
      </c>
      <c r="CC171" s="54"/>
      <c r="CD171" s="54"/>
      <c r="CE171" s="54"/>
      <c r="CF171" s="54">
        <f>BU171-BQ171</f>
        <v>0</v>
      </c>
      <c r="CG171" s="60"/>
      <c r="CH171" s="61">
        <f t="shared" si="148"/>
        <v>0</v>
      </c>
      <c r="CI171" s="200"/>
      <c r="CJ171" s="301"/>
    </row>
    <row r="172" spans="1:88" ht="20.25" hidden="1" customHeight="1" x14ac:dyDescent="0.2">
      <c r="A172" s="4"/>
      <c r="B172" s="27"/>
      <c r="C172" s="28"/>
      <c r="D172" s="28"/>
      <c r="E172" s="29" t="s">
        <v>133</v>
      </c>
      <c r="F172" s="28"/>
      <c r="G172" s="30">
        <v>2257.1799999999998</v>
      </c>
      <c r="H172" s="31"/>
      <c r="I172" s="30">
        <v>2083.37</v>
      </c>
      <c r="J172" s="31"/>
      <c r="K172" s="30">
        <f t="shared" ref="K172:K176" si="152">ROUND((G172-I172),5)</f>
        <v>173.81</v>
      </c>
      <c r="L172" s="31"/>
      <c r="M172" s="32">
        <f t="shared" ref="M172:M176" si="153">ROUND(IF(I172=0, IF(G172=0, 0, 1), G172/I172),5)</f>
        <v>1.0834299999999999</v>
      </c>
      <c r="N172" s="31"/>
      <c r="O172" s="30">
        <v>751.8</v>
      </c>
      <c r="P172" s="31"/>
      <c r="Q172" s="30">
        <v>2083.33</v>
      </c>
      <c r="R172" s="31"/>
      <c r="S172" s="30">
        <f t="shared" ref="S172:S176" si="154">ROUND((O172-Q172),5)</f>
        <v>-1331.53</v>
      </c>
      <c r="T172" s="31"/>
      <c r="U172" s="32">
        <f t="shared" ref="U172:U176" si="155">ROUND(IF(Q172=0, IF(O172=0, 0, 1), O172/Q172),5)</f>
        <v>0.36086000000000001</v>
      </c>
      <c r="V172" s="31"/>
      <c r="W172" s="33">
        <v>4294.16</v>
      </c>
      <c r="X172" s="33"/>
      <c r="Y172" s="33">
        <v>2083.33</v>
      </c>
      <c r="Z172" s="33"/>
      <c r="AA172" s="33">
        <f t="shared" ref="AA172:AA176" si="156">ROUND((W172-Y172),5)</f>
        <v>2210.83</v>
      </c>
      <c r="AB172" s="33"/>
      <c r="AC172" s="33"/>
      <c r="AD172" s="34"/>
      <c r="AE172" s="34"/>
      <c r="AF172" s="49"/>
      <c r="AG172" s="50"/>
      <c r="AH172" s="51"/>
      <c r="AI172" s="51"/>
      <c r="AJ172" s="51"/>
      <c r="AK172" s="51"/>
      <c r="AL172" s="51">
        <v>25000</v>
      </c>
      <c r="AM172" s="51"/>
      <c r="AN172" s="51">
        <f>AP172*4</f>
        <v>29212.560000000001</v>
      </c>
      <c r="AO172" s="51"/>
      <c r="AP172" s="51">
        <f>ROUND(G172+O172+W172,5)</f>
        <v>7303.14</v>
      </c>
      <c r="AQ172" s="51"/>
      <c r="AR172" s="51">
        <f>ROUND(I172+Q172+Y172,5)</f>
        <v>6250.03</v>
      </c>
      <c r="AS172" s="51">
        <f t="shared" si="145"/>
        <v>14606.28</v>
      </c>
      <c r="AT172" s="51"/>
      <c r="AU172" s="65"/>
      <c r="AV172" s="54"/>
      <c r="AW172" s="55"/>
      <c r="AX172" s="56">
        <f t="shared" si="87"/>
        <v>4212.5600000000013</v>
      </c>
      <c r="AY172" s="56"/>
      <c r="AZ172" s="54"/>
      <c r="BA172" s="54"/>
      <c r="BB172" s="54"/>
      <c r="BC172" s="60"/>
      <c r="BD172" s="54">
        <f t="shared" si="149"/>
        <v>0</v>
      </c>
      <c r="BE172" s="54"/>
      <c r="BF172" s="54"/>
      <c r="BG172" s="54"/>
      <c r="BH172" s="54"/>
      <c r="BI172" s="54"/>
      <c r="BJ172" s="54"/>
      <c r="BK172" s="54"/>
      <c r="BL172" s="54"/>
      <c r="BM172" s="58">
        <f t="shared" si="146"/>
        <v>0</v>
      </c>
      <c r="BN172" s="58"/>
      <c r="BO172" s="54"/>
      <c r="BP172" s="54"/>
      <c r="BQ172" s="66">
        <f t="shared" si="129"/>
        <v>0</v>
      </c>
      <c r="BR172" s="66"/>
      <c r="BS172" s="66">
        <f t="shared" si="118"/>
        <v>0</v>
      </c>
      <c r="BT172" s="58"/>
      <c r="BU172" s="54">
        <f>BM172-BI172</f>
        <v>0</v>
      </c>
      <c r="BV172" s="58"/>
      <c r="BW172" s="58">
        <f t="shared" si="141"/>
        <v>0</v>
      </c>
      <c r="BX172" s="58"/>
      <c r="BY172" s="91"/>
      <c r="BZ172" s="115">
        <f t="shared" si="150"/>
        <v>0</v>
      </c>
      <c r="CA172" s="115"/>
      <c r="CB172" s="54">
        <f t="shared" si="151"/>
        <v>0</v>
      </c>
      <c r="CC172" s="54"/>
      <c r="CD172" s="54"/>
      <c r="CE172" s="54"/>
      <c r="CF172" s="54">
        <f>BU172-BQ172</f>
        <v>0</v>
      </c>
      <c r="CG172" s="60"/>
      <c r="CH172" s="61">
        <f t="shared" si="148"/>
        <v>0</v>
      </c>
      <c r="CI172" s="200"/>
      <c r="CJ172" s="301"/>
    </row>
    <row r="173" spans="1:88" ht="17.25" customHeight="1" x14ac:dyDescent="0.2">
      <c r="A173" s="4"/>
      <c r="B173" s="27"/>
      <c r="C173" s="28" t="s">
        <v>130</v>
      </c>
      <c r="D173" s="36"/>
      <c r="E173" s="29"/>
      <c r="F173" s="28"/>
      <c r="G173" s="30">
        <f>ROUND(SUM(G168:G172),5)</f>
        <v>2916.23</v>
      </c>
      <c r="H173" s="31"/>
      <c r="I173" s="30">
        <f>ROUND(SUM(I168:I172),5)</f>
        <v>2416.7399999999998</v>
      </c>
      <c r="J173" s="31"/>
      <c r="K173" s="30">
        <f t="shared" si="152"/>
        <v>499.49</v>
      </c>
      <c r="L173" s="31"/>
      <c r="M173" s="32">
        <f t="shared" si="153"/>
        <v>1.20668</v>
      </c>
      <c r="N173" s="31"/>
      <c r="O173" s="30">
        <f>ROUND(SUM(O168:O172),5)</f>
        <v>751.8</v>
      </c>
      <c r="P173" s="31"/>
      <c r="Q173" s="30">
        <f>ROUND(SUM(Q168:Q172),5)</f>
        <v>2416.66</v>
      </c>
      <c r="R173" s="31"/>
      <c r="S173" s="30">
        <f t="shared" si="154"/>
        <v>-1664.86</v>
      </c>
      <c r="T173" s="31"/>
      <c r="U173" s="32">
        <f t="shared" si="155"/>
        <v>0.31108999999999998</v>
      </c>
      <c r="V173" s="31"/>
      <c r="W173" s="33">
        <f>SUM(W169:W172)</f>
        <v>4347.95</v>
      </c>
      <c r="X173" s="33"/>
      <c r="Y173" s="33">
        <f>SUM(Y169:Y172)</f>
        <v>2291.66</v>
      </c>
      <c r="Z173" s="33"/>
      <c r="AA173" s="33">
        <f t="shared" si="156"/>
        <v>2056.29</v>
      </c>
      <c r="AB173" s="33"/>
      <c r="AC173" s="33"/>
      <c r="AD173" s="34">
        <v>30000</v>
      </c>
      <c r="AE173" s="34"/>
      <c r="AF173" s="49">
        <v>31941.84</v>
      </c>
      <c r="AG173" s="50"/>
      <c r="AH173" s="51">
        <v>35000</v>
      </c>
      <c r="AI173" s="51"/>
      <c r="AJ173" s="51">
        <v>39880.43</v>
      </c>
      <c r="AK173" s="51"/>
      <c r="AL173" s="51">
        <f>SUM(AL169:AL172)</f>
        <v>32000</v>
      </c>
      <c r="AM173" s="51"/>
      <c r="AN173" s="51">
        <f>40052.33</f>
        <v>40052.33</v>
      </c>
      <c r="AO173" s="51"/>
      <c r="AP173" s="51">
        <v>19758.419999999998</v>
      </c>
      <c r="AQ173" s="51"/>
      <c r="AR173" s="51">
        <f>SUM(AR169:AR172)</f>
        <v>7125.0599999999995</v>
      </c>
      <c r="AS173" s="51">
        <f t="shared" si="145"/>
        <v>39516.839999999997</v>
      </c>
      <c r="AT173" s="51"/>
      <c r="AU173" s="65"/>
      <c r="AV173" s="54">
        <v>32000</v>
      </c>
      <c r="AW173" s="55"/>
      <c r="AX173" s="56">
        <f t="shared" si="87"/>
        <v>8052.3300000000017</v>
      </c>
      <c r="AY173" s="56"/>
      <c r="AZ173" s="54">
        <v>27943.24</v>
      </c>
      <c r="BA173" s="54"/>
      <c r="BB173" s="54"/>
      <c r="BC173" s="60"/>
      <c r="BD173" s="54">
        <v>56489.15</v>
      </c>
      <c r="BE173" s="54"/>
      <c r="BF173" s="54"/>
      <c r="BG173" s="54">
        <v>32000</v>
      </c>
      <c r="BH173" s="54"/>
      <c r="BI173" s="54">
        <v>45926.87</v>
      </c>
      <c r="BJ173" s="54"/>
      <c r="BK173" s="54">
        <v>50000</v>
      </c>
      <c r="BL173" s="54"/>
      <c r="BM173" s="58">
        <f t="shared" si="146"/>
        <v>18000</v>
      </c>
      <c r="BN173" s="58"/>
      <c r="BO173" s="54">
        <v>36137.51</v>
      </c>
      <c r="BP173" s="54"/>
      <c r="BQ173" s="57">
        <v>65087.83</v>
      </c>
      <c r="BR173" s="57"/>
      <c r="BS173" s="57">
        <f t="shared" si="118"/>
        <v>15087.830000000002</v>
      </c>
      <c r="BT173" s="58"/>
      <c r="BU173" s="54">
        <v>48000</v>
      </c>
      <c r="BV173" s="58"/>
      <c r="BW173" s="58">
        <f t="shared" si="141"/>
        <v>-2000</v>
      </c>
      <c r="BX173" s="58"/>
      <c r="BY173" s="91" t="s">
        <v>300</v>
      </c>
      <c r="BZ173" s="233">
        <v>56368.21</v>
      </c>
      <c r="CA173" s="233"/>
      <c r="CB173" s="226">
        <v>48000</v>
      </c>
      <c r="CC173" s="226"/>
      <c r="CD173" s="226">
        <v>46947.18</v>
      </c>
      <c r="CE173" s="226"/>
      <c r="CF173" s="226">
        <v>48000</v>
      </c>
      <c r="CG173" s="227"/>
      <c r="CH173" s="61">
        <f t="shared" si="148"/>
        <v>0</v>
      </c>
      <c r="CI173" s="200"/>
      <c r="CJ173" s="321" t="s">
        <v>313</v>
      </c>
    </row>
    <row r="174" spans="1:88" s="7" customFormat="1" ht="15.75" customHeight="1" x14ac:dyDescent="0.2">
      <c r="A174" s="6"/>
      <c r="B174" s="27"/>
      <c r="C174" s="28" t="s">
        <v>134</v>
      </c>
      <c r="D174" s="36"/>
      <c r="E174" s="29"/>
      <c r="F174" s="28"/>
      <c r="G174" s="30">
        <v>483</v>
      </c>
      <c r="H174" s="31"/>
      <c r="I174" s="30">
        <v>2500</v>
      </c>
      <c r="J174" s="31"/>
      <c r="K174" s="30">
        <f t="shared" si="152"/>
        <v>-2017</v>
      </c>
      <c r="L174" s="31"/>
      <c r="M174" s="32">
        <f t="shared" si="153"/>
        <v>0.19320000000000001</v>
      </c>
      <c r="N174" s="31"/>
      <c r="O174" s="30">
        <v>169.5</v>
      </c>
      <c r="P174" s="31"/>
      <c r="Q174" s="30">
        <v>2500</v>
      </c>
      <c r="R174" s="31"/>
      <c r="S174" s="30">
        <f t="shared" si="154"/>
        <v>-2330.5</v>
      </c>
      <c r="T174" s="31"/>
      <c r="U174" s="32">
        <f t="shared" si="155"/>
        <v>6.7799999999999999E-2</v>
      </c>
      <c r="V174" s="31"/>
      <c r="W174" s="33">
        <f>214+163.15</f>
        <v>377.15</v>
      </c>
      <c r="X174" s="33"/>
      <c r="Y174" s="33">
        <v>2500</v>
      </c>
      <c r="Z174" s="33"/>
      <c r="AA174" s="33">
        <f t="shared" si="156"/>
        <v>-2122.85</v>
      </c>
      <c r="AB174" s="33"/>
      <c r="AC174" s="33"/>
      <c r="AD174" s="34">
        <v>12000</v>
      </c>
      <c r="AE174" s="34"/>
      <c r="AF174" s="49">
        <v>13423.03</v>
      </c>
      <c r="AG174" s="50"/>
      <c r="AH174" s="51">
        <v>20000</v>
      </c>
      <c r="AI174" s="51"/>
      <c r="AJ174" s="51">
        <v>14776.93</v>
      </c>
      <c r="AK174" s="51"/>
      <c r="AL174" s="51">
        <v>30000</v>
      </c>
      <c r="AM174" s="51"/>
      <c r="AN174" s="51">
        <v>5945.79</v>
      </c>
      <c r="AO174" s="51"/>
      <c r="AP174" s="51">
        <v>362.41</v>
      </c>
      <c r="AQ174" s="51"/>
      <c r="AR174" s="51">
        <f>ROUND(I174+Q174+Y174,5)</f>
        <v>7500</v>
      </c>
      <c r="AS174" s="51">
        <f t="shared" si="145"/>
        <v>724.82</v>
      </c>
      <c r="AT174" s="51"/>
      <c r="AU174" s="65"/>
      <c r="AV174" s="54">
        <v>20000</v>
      </c>
      <c r="AW174" s="55"/>
      <c r="AX174" s="56">
        <f t="shared" si="87"/>
        <v>-24054.21</v>
      </c>
      <c r="AY174" s="56"/>
      <c r="AZ174" s="54">
        <v>6686.55</v>
      </c>
      <c r="BA174" s="54"/>
      <c r="BB174" s="54"/>
      <c r="BC174" s="60"/>
      <c r="BD174" s="54">
        <v>11433.21</v>
      </c>
      <c r="BE174" s="54"/>
      <c r="BF174" s="54"/>
      <c r="BG174" s="54">
        <v>20000</v>
      </c>
      <c r="BH174" s="54"/>
      <c r="BI174" s="54">
        <v>17042.25</v>
      </c>
      <c r="BJ174" s="54"/>
      <c r="BK174" s="54">
        <v>25000</v>
      </c>
      <c r="BL174" s="54"/>
      <c r="BM174" s="58">
        <f t="shared" si="146"/>
        <v>5000</v>
      </c>
      <c r="BN174" s="58"/>
      <c r="BO174" s="54">
        <v>18191.78</v>
      </c>
      <c r="BP174" s="54"/>
      <c r="BQ174" s="66">
        <v>25978.49</v>
      </c>
      <c r="BR174" s="66"/>
      <c r="BS174" s="66">
        <f t="shared" si="118"/>
        <v>978.4900000000016</v>
      </c>
      <c r="BT174" s="58"/>
      <c r="BU174" s="54">
        <v>15000</v>
      </c>
      <c r="BV174" s="58"/>
      <c r="BW174" s="58">
        <f t="shared" si="141"/>
        <v>-10000</v>
      </c>
      <c r="BX174" s="58"/>
      <c r="BY174" s="231" t="s">
        <v>204</v>
      </c>
      <c r="BZ174" s="115">
        <v>10459.280000000001</v>
      </c>
      <c r="CA174" s="115"/>
      <c r="CB174" s="226">
        <v>15000</v>
      </c>
      <c r="CC174" s="226"/>
      <c r="CD174" s="226">
        <v>6468.94</v>
      </c>
      <c r="CE174" s="226"/>
      <c r="CF174" s="226">
        <v>12750</v>
      </c>
      <c r="CG174" s="227"/>
      <c r="CH174" s="61">
        <f t="shared" si="148"/>
        <v>-2250</v>
      </c>
      <c r="CI174" s="200"/>
      <c r="CJ174" s="321" t="s">
        <v>301</v>
      </c>
    </row>
    <row r="175" spans="1:88" s="7" customFormat="1" ht="18.75" customHeight="1" thickBot="1" x14ac:dyDescent="0.25">
      <c r="A175" s="6"/>
      <c r="B175" s="27"/>
      <c r="C175" s="28" t="s">
        <v>135</v>
      </c>
      <c r="D175" s="28"/>
      <c r="E175" s="29"/>
      <c r="F175" s="28"/>
      <c r="G175" s="68">
        <v>1502.54</v>
      </c>
      <c r="H175" s="31"/>
      <c r="I175" s="68">
        <v>2083.37</v>
      </c>
      <c r="J175" s="31"/>
      <c r="K175" s="68">
        <f t="shared" si="152"/>
        <v>-580.83000000000004</v>
      </c>
      <c r="L175" s="31"/>
      <c r="M175" s="69">
        <f t="shared" si="153"/>
        <v>0.72121000000000002</v>
      </c>
      <c r="N175" s="31"/>
      <c r="O175" s="68">
        <v>1282.3599999999999</v>
      </c>
      <c r="P175" s="31"/>
      <c r="Q175" s="68">
        <v>2083.33</v>
      </c>
      <c r="R175" s="31"/>
      <c r="S175" s="68">
        <f t="shared" si="154"/>
        <v>-800.97</v>
      </c>
      <c r="T175" s="31"/>
      <c r="U175" s="69">
        <f t="shared" si="155"/>
        <v>0.61553000000000002</v>
      </c>
      <c r="V175" s="31"/>
      <c r="W175" s="33">
        <v>1941.27</v>
      </c>
      <c r="X175" s="33"/>
      <c r="Y175" s="33">
        <v>2083.33</v>
      </c>
      <c r="Z175" s="33"/>
      <c r="AA175" s="33">
        <f t="shared" si="156"/>
        <v>-142.06</v>
      </c>
      <c r="AB175" s="33"/>
      <c r="AC175" s="33"/>
      <c r="AD175" s="34">
        <v>0</v>
      </c>
      <c r="AE175" s="34"/>
      <c r="AF175" s="71"/>
      <c r="AG175" s="72"/>
      <c r="AH175" s="73">
        <v>0</v>
      </c>
      <c r="AI175" s="73"/>
      <c r="AJ175" s="73">
        <v>26050.46</v>
      </c>
      <c r="AK175" s="73"/>
      <c r="AL175" s="73">
        <v>25000</v>
      </c>
      <c r="AM175" s="73"/>
      <c r="AN175" s="73">
        <v>20055.04</v>
      </c>
      <c r="AO175" s="73"/>
      <c r="AP175" s="73">
        <v>8777.2999999999993</v>
      </c>
      <c r="AQ175" s="73"/>
      <c r="AR175" s="73">
        <f>ROUND(I175+Q175+Y175,5)</f>
        <v>6250.03</v>
      </c>
      <c r="AS175" s="73">
        <f t="shared" si="145"/>
        <v>17554.599999999999</v>
      </c>
      <c r="AT175" s="73"/>
      <c r="AU175" s="116"/>
      <c r="AV175" s="73">
        <v>25000</v>
      </c>
      <c r="AW175" s="116"/>
      <c r="AX175" s="234">
        <f t="shared" ref="AX175:AX183" si="157">AN175-AL175</f>
        <v>-4944.9599999999991</v>
      </c>
      <c r="AY175" s="234"/>
      <c r="AZ175" s="73">
        <v>14658.42</v>
      </c>
      <c r="BA175" s="73"/>
      <c r="BB175" s="73"/>
      <c r="BC175" s="235"/>
      <c r="BD175" s="73">
        <v>32802.47</v>
      </c>
      <c r="BE175" s="73"/>
      <c r="BF175" s="73"/>
      <c r="BG175" s="73">
        <v>25000</v>
      </c>
      <c r="BH175" s="73"/>
      <c r="BI175" s="73">
        <v>39737.49</v>
      </c>
      <c r="BJ175" s="73"/>
      <c r="BK175" s="73">
        <v>23000</v>
      </c>
      <c r="BL175" s="73"/>
      <c r="BM175" s="236">
        <f t="shared" si="146"/>
        <v>-2000</v>
      </c>
      <c r="BN175" s="236"/>
      <c r="BO175" s="73">
        <v>11330.58</v>
      </c>
      <c r="BP175" s="73"/>
      <c r="BQ175" s="237">
        <v>27140.19</v>
      </c>
      <c r="BR175" s="237"/>
      <c r="BS175" s="237">
        <f t="shared" si="118"/>
        <v>4140.1899999999987</v>
      </c>
      <c r="BT175" s="236"/>
      <c r="BU175" s="73">
        <v>25000</v>
      </c>
      <c r="BV175" s="236"/>
      <c r="BW175" s="236">
        <f t="shared" si="141"/>
        <v>2000</v>
      </c>
      <c r="BX175" s="238"/>
      <c r="BY175" s="239" t="s">
        <v>302</v>
      </c>
      <c r="BZ175" s="240">
        <v>31115.46</v>
      </c>
      <c r="CA175" s="240"/>
      <c r="CB175" s="219">
        <v>25000</v>
      </c>
      <c r="CC175" s="219"/>
      <c r="CD175" s="219">
        <v>19556.419999999998</v>
      </c>
      <c r="CE175" s="219"/>
      <c r="CF175" s="219">
        <v>21250</v>
      </c>
      <c r="CG175" s="220"/>
      <c r="CH175" s="103">
        <f>CF175-CB175</f>
        <v>-3750</v>
      </c>
      <c r="CI175" s="129"/>
      <c r="CJ175" s="320" t="s">
        <v>314</v>
      </c>
    </row>
    <row r="176" spans="1:88" s="7" customFormat="1" ht="18" customHeight="1" thickBot="1" x14ac:dyDescent="0.25">
      <c r="A176" s="6"/>
      <c r="B176" s="27" t="s">
        <v>136</v>
      </c>
      <c r="C176" s="28"/>
      <c r="D176" s="28"/>
      <c r="E176" s="29"/>
      <c r="F176" s="28"/>
      <c r="G176" s="30">
        <f>ROUND(G131+G153+G157+G161+SUM(G165:G166)+SUM(G175:G175),5)</f>
        <v>16305.77</v>
      </c>
      <c r="H176" s="31"/>
      <c r="I176" s="30">
        <f>ROUND(I131+I153+I157+I161+SUM(I165:I166)+SUM(I175:I175),5)</f>
        <v>55500.11</v>
      </c>
      <c r="J176" s="31"/>
      <c r="K176" s="30">
        <f t="shared" si="152"/>
        <v>-39194.339999999997</v>
      </c>
      <c r="L176" s="31"/>
      <c r="M176" s="32">
        <f t="shared" si="153"/>
        <v>0.29380000000000001</v>
      </c>
      <c r="N176" s="31"/>
      <c r="O176" s="30">
        <f>ROUND(O131+O153+O157+O161+SUM(O165:O166)+SUM(O175:O175),5)</f>
        <v>188255.01</v>
      </c>
      <c r="P176" s="31"/>
      <c r="Q176" s="30">
        <f>ROUND(Q131+Q153+Q157+Q161+SUM(Q165:Q166)+SUM(Q175:Q175),5)</f>
        <v>55499.99</v>
      </c>
      <c r="R176" s="31"/>
      <c r="S176" s="30">
        <f t="shared" si="154"/>
        <v>132755.01999999999</v>
      </c>
      <c r="T176" s="31"/>
      <c r="U176" s="32">
        <f t="shared" si="155"/>
        <v>3.3919800000000002</v>
      </c>
      <c r="V176" s="31"/>
      <c r="W176" s="76" t="e">
        <f>W175+#REF!+W166+W165+W161+W157+W153+W135</f>
        <v>#REF!</v>
      </c>
      <c r="X176" s="76"/>
      <c r="Y176" s="76" t="e">
        <f>Y175+#REF!+Y166+Y165+Y161+Y157+Y153+Y135</f>
        <v>#REF!</v>
      </c>
      <c r="Z176" s="76"/>
      <c r="AA176" s="76" t="e">
        <f t="shared" si="156"/>
        <v>#REF!</v>
      </c>
      <c r="AB176" s="76"/>
      <c r="AC176" s="76"/>
      <c r="AD176" s="194">
        <f>AD175+D166+AD165+AD161+AD157+AD153+AD135</f>
        <v>695000</v>
      </c>
      <c r="AE176" s="194"/>
      <c r="AF176" s="195">
        <f>AF175+AF166+AF165+AF161+AF157+AF153+AF135</f>
        <v>674945.84000000008</v>
      </c>
      <c r="AG176" s="81"/>
      <c r="AH176" s="41">
        <f>AH175+AH166+AH165+AH161+AH157+AH153+AH135</f>
        <v>711000</v>
      </c>
      <c r="AI176" s="41"/>
      <c r="AJ176" s="41">
        <v>692290.72000000009</v>
      </c>
      <c r="AK176" s="41"/>
      <c r="AL176" s="41">
        <f>AL175++AL166+AL165+AL161+AL157+AL153+AL135+AL174+AL173+AL167+AL186</f>
        <v>835500</v>
      </c>
      <c r="AM176" s="41"/>
      <c r="AN176" s="41">
        <f>AN175++AN166+AN165+AN161+AN157+AN153+AN135+AN174+AN173+AN167</f>
        <v>715400.73999999987</v>
      </c>
      <c r="AO176" s="41"/>
      <c r="AP176" s="41">
        <f>AP175++AP166+AP165+AP161+AP157+AP153+AP135+AP174+AP173+AP167+AP186</f>
        <v>372864.99999999994</v>
      </c>
      <c r="AQ176" s="41"/>
      <c r="AR176" s="41">
        <f>AR175++AR166+AR165+AR161+AR157+AR153+AR135+AR174+AR173+AR167+AR186</f>
        <v>205500.15</v>
      </c>
      <c r="AS176" s="41">
        <f t="shared" si="145"/>
        <v>745729.99999999988</v>
      </c>
      <c r="AT176" s="41"/>
      <c r="AU176" s="42"/>
      <c r="AV176" s="189">
        <f>AV175++AV166+AV165+AV161+AV157+AV153+AV135+AV174+AV173+AV167</f>
        <v>710000</v>
      </c>
      <c r="AW176" s="166"/>
      <c r="AX176" s="241">
        <f t="shared" si="157"/>
        <v>-120099.26000000013</v>
      </c>
      <c r="AY176" s="241"/>
      <c r="AZ176" s="189">
        <f>AZ175+AZ174+AZ173+AZ166+AZ165+AZ161+AZ157+AZ153+AZ135</f>
        <v>381331.87699999998</v>
      </c>
      <c r="BA176" s="189"/>
      <c r="BB176" s="189"/>
      <c r="BC176" s="242"/>
      <c r="BD176" s="189">
        <f>SUM(BD175+BD174+BD173+BD167+BD166+BD165+BD161+BD157+BD153+BD135)</f>
        <v>772957.23</v>
      </c>
      <c r="BE176" s="189"/>
      <c r="BF176" s="189"/>
      <c r="BG176" s="189">
        <f>SUM(BG175+BG174+BG173+BG167+BG166+BG165+BG161+BG157+BG153+BG135)</f>
        <v>665000</v>
      </c>
      <c r="BH176" s="189"/>
      <c r="BI176" s="189">
        <f>BI175+BI174+BI173+BI166+BI165+BI161+BI157+BI153+BI135</f>
        <v>753405.19999999984</v>
      </c>
      <c r="BJ176" s="189"/>
      <c r="BK176" s="189">
        <f>BK175+BK174+BK173+BK166+BK165+BK161+BK157+BK153+BK135</f>
        <v>679600</v>
      </c>
      <c r="BL176" s="189"/>
      <c r="BM176" s="243">
        <f>BK176-BG176</f>
        <v>14600</v>
      </c>
      <c r="BN176" s="243"/>
      <c r="BO176" s="189">
        <f>BO175++BO166+BO165+BO161+BO157+BO153+BO135+BO174+BO173+BO167</f>
        <v>376589.49</v>
      </c>
      <c r="BP176" s="189"/>
      <c r="BQ176" s="189">
        <f>BQ175+BQ174+BQ173+BQ166+BQ165+BQ161+BQ157+BQ153+BQ135</f>
        <v>699320.55</v>
      </c>
      <c r="BR176" s="244"/>
      <c r="BS176" s="244">
        <f>BS175+BS174+BS173+BS166+BS165+BS161+BS157+BS153+BS135</f>
        <v>19720.55</v>
      </c>
      <c r="BT176" s="243"/>
      <c r="BU176" s="189">
        <f>BU175+BU174+BU173+BU166+BU165+BU161+BU157+BU153+BU135</f>
        <v>653500</v>
      </c>
      <c r="BV176" s="243"/>
      <c r="BW176" s="243">
        <f t="shared" si="141"/>
        <v>-26100</v>
      </c>
      <c r="BX176" s="238"/>
      <c r="BY176" s="245"/>
      <c r="BZ176" s="189">
        <f>BZ175+BZ174+BZ173+BZ166+BZ165+BZ161+BZ157+BZ153+BZ135</f>
        <v>655771.71</v>
      </c>
      <c r="CA176" s="189"/>
      <c r="CB176" s="167">
        <f>CB175+CB174+CB173+CB166+CB165+CB161+CB157+CB153+CB135</f>
        <v>673500</v>
      </c>
      <c r="CC176" s="167"/>
      <c r="CD176" s="167">
        <f>CD175+CD174+CD173+CD166+CD165+CD161+CD157+CD153+CD135</f>
        <v>420659.72</v>
      </c>
      <c r="CE176" s="167"/>
      <c r="CF176" s="167">
        <f>CF175+CF174+CF173+CF166+CF165+CF161+CF157+CF153+CF135</f>
        <v>608610</v>
      </c>
      <c r="CG176" s="107"/>
      <c r="CH176" s="103">
        <f t="shared" si="148"/>
        <v>-64890</v>
      </c>
      <c r="CI176" s="96"/>
      <c r="CJ176" s="310"/>
    </row>
    <row r="177" spans="1:88" s="7" customFormat="1" ht="15" customHeight="1" x14ac:dyDescent="0.2">
      <c r="A177" s="6"/>
      <c r="B177" s="27" t="s">
        <v>205</v>
      </c>
      <c r="C177" s="28"/>
      <c r="D177" s="28"/>
      <c r="E177" s="29"/>
      <c r="F177" s="28"/>
      <c r="G177" s="30"/>
      <c r="H177" s="31"/>
      <c r="I177" s="30"/>
      <c r="J177" s="31"/>
      <c r="K177" s="30"/>
      <c r="L177" s="31"/>
      <c r="M177" s="32"/>
      <c r="N177" s="31"/>
      <c r="O177" s="30"/>
      <c r="P177" s="31"/>
      <c r="Q177" s="30"/>
      <c r="R177" s="31"/>
      <c r="S177" s="30"/>
      <c r="T177" s="31"/>
      <c r="U177" s="32"/>
      <c r="V177" s="31"/>
      <c r="W177" s="33"/>
      <c r="X177" s="33"/>
      <c r="Y177" s="33"/>
      <c r="Z177" s="33"/>
      <c r="AA177" s="33"/>
      <c r="AB177" s="33"/>
      <c r="AC177" s="33"/>
      <c r="AD177" s="34"/>
      <c r="AE177" s="34"/>
      <c r="AF177" s="49"/>
      <c r="AG177" s="50"/>
      <c r="AH177" s="51"/>
      <c r="AI177" s="51"/>
      <c r="AJ177" s="51"/>
      <c r="AK177" s="51"/>
      <c r="AL177" s="51"/>
      <c r="AM177" s="51"/>
      <c r="AN177" s="51"/>
      <c r="AO177" s="51"/>
      <c r="AP177" s="51"/>
      <c r="AQ177" s="51"/>
      <c r="AR177" s="51"/>
      <c r="AS177" s="51"/>
      <c r="AT177" s="51"/>
      <c r="AU177" s="65"/>
      <c r="AV177" s="41"/>
      <c r="AW177" s="42"/>
      <c r="AX177" s="230">
        <f t="shared" si="157"/>
        <v>0</v>
      </c>
      <c r="AY177" s="230"/>
      <c r="AZ177" s="41"/>
      <c r="BA177" s="41"/>
      <c r="BB177" s="41"/>
      <c r="BC177" s="246"/>
      <c r="BD177" s="41"/>
      <c r="BE177" s="41"/>
      <c r="BF177" s="41"/>
      <c r="BG177" s="41"/>
      <c r="BH177" s="41"/>
      <c r="BI177" s="41"/>
      <c r="BJ177" s="41"/>
      <c r="BK177" s="41"/>
      <c r="BL177" s="41"/>
      <c r="BM177" s="247"/>
      <c r="BN177" s="247"/>
      <c r="BO177" s="41"/>
      <c r="BP177" s="41"/>
      <c r="BQ177" s="248"/>
      <c r="BR177" s="248"/>
      <c r="BS177" s="248"/>
      <c r="BT177" s="247"/>
      <c r="BU177" s="41"/>
      <c r="BV177" s="247"/>
      <c r="BW177" s="247">
        <f t="shared" si="141"/>
        <v>0</v>
      </c>
      <c r="BX177" s="238"/>
      <c r="BY177" s="245"/>
      <c r="BZ177" s="248"/>
      <c r="CA177" s="248"/>
      <c r="CB177" s="79"/>
      <c r="CC177" s="79"/>
      <c r="CD177" s="79"/>
      <c r="CE177" s="79"/>
      <c r="CF177" s="79"/>
      <c r="CG177" s="83"/>
      <c r="CH177" s="112">
        <f t="shared" si="148"/>
        <v>0</v>
      </c>
      <c r="CI177" s="199"/>
      <c r="CJ177" s="311"/>
    </row>
    <row r="178" spans="1:88" s="7" customFormat="1" ht="26.25" customHeight="1" x14ac:dyDescent="0.2">
      <c r="A178" s="6"/>
      <c r="B178" s="27"/>
      <c r="C178" s="351" t="s">
        <v>215</v>
      </c>
      <c r="D178" s="351"/>
      <c r="E178" s="351"/>
      <c r="F178" s="351"/>
      <c r="G178" s="119">
        <v>0</v>
      </c>
      <c r="H178" s="120"/>
      <c r="I178" s="119">
        <v>208.37</v>
      </c>
      <c r="J178" s="120"/>
      <c r="K178" s="119">
        <f t="shared" ref="K178:K183" si="158">ROUND((G178-I178),5)</f>
        <v>-208.37</v>
      </c>
      <c r="L178" s="120"/>
      <c r="M178" s="121">
        <f t="shared" ref="M178:M183" si="159">ROUND(IF(I178=0, IF(G178=0, 0, 1), G178/I178),5)</f>
        <v>0</v>
      </c>
      <c r="N178" s="120"/>
      <c r="O178" s="119">
        <v>528.29999999999995</v>
      </c>
      <c r="P178" s="120"/>
      <c r="Q178" s="119">
        <v>208.33</v>
      </c>
      <c r="R178" s="120"/>
      <c r="S178" s="119">
        <f t="shared" ref="S178:S183" si="160">ROUND((O178-Q178),5)</f>
        <v>319.97000000000003</v>
      </c>
      <c r="T178" s="120"/>
      <c r="U178" s="121">
        <f t="shared" ref="U178:U183" si="161">ROUND(IF(Q178=0, IF(O178=0, 0, 1), O178/Q178),5)</f>
        <v>2.5358800000000001</v>
      </c>
      <c r="V178" s="120"/>
      <c r="W178" s="34">
        <v>0</v>
      </c>
      <c r="X178" s="34"/>
      <c r="Y178" s="34">
        <v>208.33</v>
      </c>
      <c r="Z178" s="34"/>
      <c r="AA178" s="34">
        <f t="shared" ref="AA178:AA183" si="162">ROUND((W178-Y178),5)</f>
        <v>-208.33</v>
      </c>
      <c r="AB178" s="34"/>
      <c r="AC178" s="34"/>
      <c r="AD178" s="34"/>
      <c r="AE178" s="34"/>
      <c r="AF178" s="49"/>
      <c r="AG178" s="50"/>
      <c r="AH178" s="54"/>
      <c r="AI178" s="54"/>
      <c r="AJ178" s="54">
        <v>5051.33</v>
      </c>
      <c r="AK178" s="54"/>
      <c r="AL178" s="54">
        <v>2500</v>
      </c>
      <c r="AM178" s="54"/>
      <c r="AN178" s="54">
        <v>6982.06</v>
      </c>
      <c r="AO178" s="54"/>
      <c r="AP178" s="54">
        <v>5323.22</v>
      </c>
      <c r="AQ178" s="54"/>
      <c r="AR178" s="54">
        <f t="shared" ref="AR178:AR182" si="163">ROUND(I178+Q178+Y178,5)</f>
        <v>625.03</v>
      </c>
      <c r="AS178" s="54">
        <f t="shared" ref="AS178:AS183" si="164">AP178*2</f>
        <v>10646.44</v>
      </c>
      <c r="AT178" s="54"/>
      <c r="AU178" s="55"/>
      <c r="AV178" s="54">
        <v>5000</v>
      </c>
      <c r="AW178" s="55"/>
      <c r="AX178" s="56">
        <f t="shared" si="157"/>
        <v>4482.0600000000004</v>
      </c>
      <c r="AY178" s="56"/>
      <c r="AZ178" s="54">
        <v>175</v>
      </c>
      <c r="BA178" s="54"/>
      <c r="BB178" s="54"/>
      <c r="BC178" s="60"/>
      <c r="BD178" s="54">
        <v>862.5</v>
      </c>
      <c r="BE178" s="54"/>
      <c r="BF178" s="54"/>
      <c r="BG178" s="54">
        <v>5000</v>
      </c>
      <c r="BH178" s="54"/>
      <c r="BI178" s="57">
        <f>241.04+142.14</f>
        <v>383.17999999999995</v>
      </c>
      <c r="BJ178" s="54"/>
      <c r="BK178" s="54">
        <v>12000</v>
      </c>
      <c r="BL178" s="54"/>
      <c r="BM178" s="58">
        <f t="shared" ref="BM178:BM196" si="165">BK178-BG178</f>
        <v>7000</v>
      </c>
      <c r="BN178" s="58"/>
      <c r="BO178" s="54">
        <v>0</v>
      </c>
      <c r="BP178" s="54"/>
      <c r="BQ178" s="66">
        <f>12842.78-106.79</f>
        <v>12735.99</v>
      </c>
      <c r="BR178" s="66"/>
      <c r="BS178" s="66">
        <f t="shared" si="118"/>
        <v>735.98999999999978</v>
      </c>
      <c r="BT178" s="58"/>
      <c r="BU178" s="54">
        <v>10000</v>
      </c>
      <c r="BV178" s="58"/>
      <c r="BW178" s="58">
        <f t="shared" si="141"/>
        <v>-2000</v>
      </c>
      <c r="BX178" s="165"/>
      <c r="BY178" s="359" t="s">
        <v>303</v>
      </c>
      <c r="BZ178" s="66">
        <v>2434.35</v>
      </c>
      <c r="CA178" s="66"/>
      <c r="CB178" s="54">
        <v>10000</v>
      </c>
      <c r="CC178" s="54"/>
      <c r="CD178" s="54">
        <v>10825.14</v>
      </c>
      <c r="CE178" s="54"/>
      <c r="CF178" s="54">
        <v>10000</v>
      </c>
      <c r="CG178" s="60"/>
      <c r="CH178" s="61">
        <f t="shared" si="148"/>
        <v>0</v>
      </c>
      <c r="CI178" s="200"/>
      <c r="CJ178" s="295" t="s">
        <v>204</v>
      </c>
    </row>
    <row r="179" spans="1:88" s="7" customFormat="1" ht="24" hidden="1" customHeight="1" x14ac:dyDescent="0.2">
      <c r="A179" s="6"/>
      <c r="B179" s="27"/>
      <c r="C179" s="133" t="s">
        <v>137</v>
      </c>
      <c r="D179" s="133"/>
      <c r="E179" s="134"/>
      <c r="F179" s="133"/>
      <c r="G179" s="119">
        <v>0</v>
      </c>
      <c r="H179" s="120"/>
      <c r="I179" s="119">
        <v>416.63</v>
      </c>
      <c r="J179" s="120"/>
      <c r="K179" s="119">
        <f t="shared" si="158"/>
        <v>-416.63</v>
      </c>
      <c r="L179" s="120"/>
      <c r="M179" s="121">
        <f t="shared" si="159"/>
        <v>0</v>
      </c>
      <c r="N179" s="120"/>
      <c r="O179" s="119">
        <v>0</v>
      </c>
      <c r="P179" s="120"/>
      <c r="Q179" s="119">
        <v>416.67</v>
      </c>
      <c r="R179" s="120"/>
      <c r="S179" s="119">
        <f t="shared" si="160"/>
        <v>-416.67</v>
      </c>
      <c r="T179" s="120"/>
      <c r="U179" s="121">
        <f t="shared" si="161"/>
        <v>0</v>
      </c>
      <c r="V179" s="120"/>
      <c r="W179" s="34">
        <v>2069.79</v>
      </c>
      <c r="X179" s="34"/>
      <c r="Y179" s="34">
        <v>416.67</v>
      </c>
      <c r="Z179" s="34"/>
      <c r="AA179" s="34">
        <f t="shared" si="162"/>
        <v>1653.12</v>
      </c>
      <c r="AB179" s="34"/>
      <c r="AC179" s="34"/>
      <c r="AD179" s="34"/>
      <c r="AE179" s="34"/>
      <c r="AF179" s="49"/>
      <c r="AG179" s="50"/>
      <c r="AH179" s="54"/>
      <c r="AI179" s="54"/>
      <c r="AJ179" s="54">
        <v>111.21</v>
      </c>
      <c r="AK179" s="54"/>
      <c r="AL179" s="54">
        <v>5000</v>
      </c>
      <c r="AM179" s="54"/>
      <c r="AN179" s="54">
        <v>6110.64</v>
      </c>
      <c r="AO179" s="54"/>
      <c r="AP179" s="54">
        <f t="shared" ref="AP179:AP181" si="166">ROUND(G179+O179+W179,5)</f>
        <v>2069.79</v>
      </c>
      <c r="AQ179" s="54"/>
      <c r="AR179" s="54">
        <f t="shared" si="163"/>
        <v>1249.97</v>
      </c>
      <c r="AS179" s="54">
        <f t="shared" si="164"/>
        <v>4139.58</v>
      </c>
      <c r="AT179" s="54"/>
      <c r="AU179" s="55"/>
      <c r="AV179" s="54">
        <v>5000</v>
      </c>
      <c r="AW179" s="55"/>
      <c r="AX179" s="56">
        <f t="shared" si="157"/>
        <v>1110.6400000000003</v>
      </c>
      <c r="AY179" s="56"/>
      <c r="AZ179" s="54">
        <v>-800</v>
      </c>
      <c r="BA179" s="54"/>
      <c r="BB179" s="54"/>
      <c r="BC179" s="60"/>
      <c r="BD179" s="54">
        <v>3736.72</v>
      </c>
      <c r="BE179" s="54"/>
      <c r="BF179" s="54"/>
      <c r="BG179" s="54">
        <v>5000</v>
      </c>
      <c r="BH179" s="54"/>
      <c r="BI179" s="57">
        <v>9082.69</v>
      </c>
      <c r="BJ179" s="54"/>
      <c r="BK179" s="54">
        <v>5000</v>
      </c>
      <c r="BL179" s="54"/>
      <c r="BM179" s="58">
        <f t="shared" si="165"/>
        <v>0</v>
      </c>
      <c r="BN179" s="58"/>
      <c r="BO179" s="54">
        <v>10648.97</v>
      </c>
      <c r="BP179" s="54"/>
      <c r="BQ179" s="66">
        <v>0</v>
      </c>
      <c r="BR179" s="66"/>
      <c r="BS179" s="66">
        <f t="shared" si="118"/>
        <v>-5000</v>
      </c>
      <c r="BT179" s="58"/>
      <c r="BU179" s="54">
        <v>0</v>
      </c>
      <c r="BV179" s="58"/>
      <c r="BW179" s="58">
        <f t="shared" si="141"/>
        <v>-5000</v>
      </c>
      <c r="BX179" s="187"/>
      <c r="BY179" s="360"/>
      <c r="BZ179" s="66">
        <f>BX179*2</f>
        <v>0</v>
      </c>
      <c r="CA179" s="66"/>
      <c r="CB179" s="54">
        <v>0</v>
      </c>
      <c r="CC179" s="54"/>
      <c r="CD179" s="54"/>
      <c r="CE179" s="54"/>
      <c r="CF179" s="54">
        <v>0</v>
      </c>
      <c r="CG179" s="60"/>
      <c r="CH179" s="61">
        <f t="shared" si="148"/>
        <v>0</v>
      </c>
      <c r="CI179" s="200"/>
      <c r="CJ179" s="312"/>
    </row>
    <row r="180" spans="1:88" s="7" customFormat="1" ht="14.25" hidden="1" customHeight="1" x14ac:dyDescent="0.2">
      <c r="A180" s="6"/>
      <c r="B180" s="27"/>
      <c r="C180" s="133" t="s">
        <v>138</v>
      </c>
      <c r="D180" s="133"/>
      <c r="E180" s="134"/>
      <c r="F180" s="133"/>
      <c r="G180" s="119">
        <v>0</v>
      </c>
      <c r="H180" s="120"/>
      <c r="I180" s="119">
        <v>208.37</v>
      </c>
      <c r="J180" s="120"/>
      <c r="K180" s="119">
        <f t="shared" si="158"/>
        <v>-208.37</v>
      </c>
      <c r="L180" s="120"/>
      <c r="M180" s="121">
        <f t="shared" si="159"/>
        <v>0</v>
      </c>
      <c r="N180" s="120"/>
      <c r="O180" s="119">
        <v>0</v>
      </c>
      <c r="P180" s="120"/>
      <c r="Q180" s="119">
        <v>208.33</v>
      </c>
      <c r="R180" s="120"/>
      <c r="S180" s="119">
        <f t="shared" si="160"/>
        <v>-208.33</v>
      </c>
      <c r="T180" s="120"/>
      <c r="U180" s="121">
        <f t="shared" si="161"/>
        <v>0</v>
      </c>
      <c r="V180" s="120"/>
      <c r="W180" s="34">
        <v>233.49</v>
      </c>
      <c r="X180" s="34"/>
      <c r="Y180" s="34">
        <v>208.33</v>
      </c>
      <c r="Z180" s="34"/>
      <c r="AA180" s="34">
        <f t="shared" si="162"/>
        <v>25.16</v>
      </c>
      <c r="AB180" s="34"/>
      <c r="AC180" s="34"/>
      <c r="AD180" s="34"/>
      <c r="AE180" s="34"/>
      <c r="AF180" s="49"/>
      <c r="AG180" s="50"/>
      <c r="AH180" s="54"/>
      <c r="AI180" s="54"/>
      <c r="AJ180" s="54">
        <v>4500.43</v>
      </c>
      <c r="AK180" s="54"/>
      <c r="AL180" s="54">
        <v>2500</v>
      </c>
      <c r="AM180" s="54"/>
      <c r="AN180" s="54">
        <v>3029.12</v>
      </c>
      <c r="AO180" s="54"/>
      <c r="AP180" s="54">
        <v>443.37</v>
      </c>
      <c r="AQ180" s="54"/>
      <c r="AR180" s="54">
        <f t="shared" si="163"/>
        <v>625.03</v>
      </c>
      <c r="AS180" s="54">
        <f t="shared" si="164"/>
        <v>886.74</v>
      </c>
      <c r="AT180" s="54"/>
      <c r="AU180" s="55"/>
      <c r="AV180" s="54">
        <v>5000</v>
      </c>
      <c r="AW180" s="55"/>
      <c r="AX180" s="56">
        <f t="shared" si="157"/>
        <v>529.11999999999989</v>
      </c>
      <c r="AY180" s="56"/>
      <c r="AZ180" s="54">
        <v>0</v>
      </c>
      <c r="BA180" s="54"/>
      <c r="BB180" s="54"/>
      <c r="BC180" s="60"/>
      <c r="BD180" s="54">
        <f t="shared" ref="BD180" si="167">AZ180*2</f>
        <v>0</v>
      </c>
      <c r="BE180" s="54"/>
      <c r="BF180" s="54"/>
      <c r="BG180" s="54">
        <v>5000</v>
      </c>
      <c r="BH180" s="54"/>
      <c r="BI180" s="57">
        <v>4381.8999999999996</v>
      </c>
      <c r="BJ180" s="54"/>
      <c r="BK180" s="54">
        <v>5000</v>
      </c>
      <c r="BL180" s="54"/>
      <c r="BM180" s="58">
        <f t="shared" si="165"/>
        <v>0</v>
      </c>
      <c r="BN180" s="58"/>
      <c r="BO180" s="54">
        <v>0</v>
      </c>
      <c r="BP180" s="54"/>
      <c r="BQ180" s="66">
        <f t="shared" si="129"/>
        <v>0</v>
      </c>
      <c r="BR180" s="66"/>
      <c r="BS180" s="66">
        <f t="shared" si="118"/>
        <v>-5000</v>
      </c>
      <c r="BT180" s="58"/>
      <c r="BU180" s="54">
        <v>0</v>
      </c>
      <c r="BV180" s="58"/>
      <c r="BW180" s="58">
        <f t="shared" si="141"/>
        <v>-5000</v>
      </c>
      <c r="BX180" s="187"/>
      <c r="BY180" s="360"/>
      <c r="BZ180" s="66">
        <f>BX180*2</f>
        <v>0</v>
      </c>
      <c r="CA180" s="66"/>
      <c r="CB180" s="54">
        <v>0</v>
      </c>
      <c r="CC180" s="54"/>
      <c r="CD180" s="54"/>
      <c r="CE180" s="54"/>
      <c r="CF180" s="54">
        <v>0</v>
      </c>
      <c r="CG180" s="60"/>
      <c r="CH180" s="61">
        <f t="shared" si="148"/>
        <v>0</v>
      </c>
      <c r="CI180" s="200"/>
      <c r="CJ180" s="312"/>
    </row>
    <row r="181" spans="1:88" s="7" customFormat="1" ht="6" hidden="1" customHeight="1" x14ac:dyDescent="0.2">
      <c r="A181" s="6"/>
      <c r="B181" s="27"/>
      <c r="C181" s="133" t="s">
        <v>139</v>
      </c>
      <c r="D181" s="133"/>
      <c r="E181" s="133"/>
      <c r="F181" s="133"/>
      <c r="G181" s="119">
        <v>195.54</v>
      </c>
      <c r="H181" s="120"/>
      <c r="I181" s="119">
        <v>125</v>
      </c>
      <c r="J181" s="120"/>
      <c r="K181" s="119">
        <f t="shared" si="158"/>
        <v>70.540000000000006</v>
      </c>
      <c r="L181" s="120"/>
      <c r="M181" s="121">
        <f t="shared" si="159"/>
        <v>1.5643199999999999</v>
      </c>
      <c r="N181" s="120"/>
      <c r="O181" s="119">
        <v>38.04</v>
      </c>
      <c r="P181" s="120"/>
      <c r="Q181" s="119">
        <v>125</v>
      </c>
      <c r="R181" s="120"/>
      <c r="S181" s="119">
        <f t="shared" si="160"/>
        <v>-86.96</v>
      </c>
      <c r="T181" s="120"/>
      <c r="U181" s="121">
        <f t="shared" si="161"/>
        <v>0.30431999999999998</v>
      </c>
      <c r="V181" s="120"/>
      <c r="W181" s="34">
        <v>0</v>
      </c>
      <c r="X181" s="34"/>
      <c r="Y181" s="34">
        <v>125</v>
      </c>
      <c r="Z181" s="34"/>
      <c r="AA181" s="34">
        <f t="shared" si="162"/>
        <v>-125</v>
      </c>
      <c r="AB181" s="34"/>
      <c r="AC181" s="34"/>
      <c r="AD181" s="34"/>
      <c r="AE181" s="34"/>
      <c r="AF181" s="49"/>
      <c r="AG181" s="50"/>
      <c r="AH181" s="54"/>
      <c r="AI181" s="54"/>
      <c r="AJ181" s="54">
        <v>671.88</v>
      </c>
      <c r="AK181" s="54"/>
      <c r="AL181" s="54">
        <v>1500</v>
      </c>
      <c r="AM181" s="54"/>
      <c r="AN181" s="54">
        <v>584.58000000000004</v>
      </c>
      <c r="AO181" s="54"/>
      <c r="AP181" s="54">
        <f t="shared" si="166"/>
        <v>233.58</v>
      </c>
      <c r="AQ181" s="54"/>
      <c r="AR181" s="54">
        <f t="shared" si="163"/>
        <v>375</v>
      </c>
      <c r="AS181" s="54">
        <f t="shared" si="164"/>
        <v>467.16</v>
      </c>
      <c r="AT181" s="54"/>
      <c r="AU181" s="55"/>
      <c r="AV181" s="54">
        <v>1500</v>
      </c>
      <c r="AW181" s="55"/>
      <c r="AX181" s="56">
        <f t="shared" si="157"/>
        <v>-915.42</v>
      </c>
      <c r="AY181" s="56"/>
      <c r="AZ181" s="54">
        <v>304.82</v>
      </c>
      <c r="BA181" s="54"/>
      <c r="BB181" s="54"/>
      <c r="BC181" s="60"/>
      <c r="BD181" s="54">
        <v>304.82</v>
      </c>
      <c r="BE181" s="54"/>
      <c r="BF181" s="54"/>
      <c r="BG181" s="54">
        <v>1500</v>
      </c>
      <c r="BH181" s="54"/>
      <c r="BI181" s="57">
        <v>0</v>
      </c>
      <c r="BJ181" s="54"/>
      <c r="BK181" s="54">
        <v>1500</v>
      </c>
      <c r="BL181" s="54"/>
      <c r="BM181" s="58">
        <f t="shared" si="165"/>
        <v>0</v>
      </c>
      <c r="BN181" s="58"/>
      <c r="BO181" s="54">
        <v>0</v>
      </c>
      <c r="BP181" s="54"/>
      <c r="BQ181" s="66">
        <f t="shared" si="129"/>
        <v>0</v>
      </c>
      <c r="BR181" s="66"/>
      <c r="BS181" s="66">
        <f t="shared" si="118"/>
        <v>-1500</v>
      </c>
      <c r="BT181" s="58"/>
      <c r="BU181" s="54">
        <v>0</v>
      </c>
      <c r="BV181" s="58"/>
      <c r="BW181" s="58">
        <f t="shared" si="141"/>
        <v>-1500</v>
      </c>
      <c r="BX181" s="84"/>
      <c r="BY181" s="361"/>
      <c r="BZ181" s="66">
        <f>BX181*2</f>
        <v>0</v>
      </c>
      <c r="CA181" s="66"/>
      <c r="CB181" s="54">
        <v>0</v>
      </c>
      <c r="CC181" s="54"/>
      <c r="CD181" s="54"/>
      <c r="CE181" s="54"/>
      <c r="CF181" s="54">
        <v>0</v>
      </c>
      <c r="CG181" s="60"/>
      <c r="CH181" s="61">
        <f t="shared" si="148"/>
        <v>0</v>
      </c>
      <c r="CI181" s="200"/>
      <c r="CJ181" s="312"/>
    </row>
    <row r="182" spans="1:88" s="7" customFormat="1" ht="17.25" customHeight="1" thickBot="1" x14ac:dyDescent="0.25">
      <c r="A182" s="6"/>
      <c r="B182" s="27"/>
      <c r="C182" s="133" t="s">
        <v>140</v>
      </c>
      <c r="D182" s="133"/>
      <c r="E182" s="134"/>
      <c r="F182" s="133"/>
      <c r="G182" s="249">
        <v>0</v>
      </c>
      <c r="H182" s="120"/>
      <c r="I182" s="249">
        <v>250</v>
      </c>
      <c r="J182" s="31"/>
      <c r="K182" s="68">
        <f t="shared" si="158"/>
        <v>-250</v>
      </c>
      <c r="L182" s="31"/>
      <c r="M182" s="69">
        <f t="shared" si="159"/>
        <v>0</v>
      </c>
      <c r="N182" s="31"/>
      <c r="O182" s="68">
        <v>0</v>
      </c>
      <c r="P182" s="31"/>
      <c r="Q182" s="68">
        <v>250</v>
      </c>
      <c r="R182" s="31"/>
      <c r="S182" s="68">
        <f t="shared" si="160"/>
        <v>-250</v>
      </c>
      <c r="T182" s="31"/>
      <c r="U182" s="69">
        <f t="shared" si="161"/>
        <v>0</v>
      </c>
      <c r="V182" s="31"/>
      <c r="W182" s="33">
        <v>0</v>
      </c>
      <c r="X182" s="33"/>
      <c r="Y182" s="33">
        <v>250</v>
      </c>
      <c r="Z182" s="33"/>
      <c r="AA182" s="33">
        <f t="shared" si="162"/>
        <v>-250</v>
      </c>
      <c r="AB182" s="33"/>
      <c r="AC182" s="33"/>
      <c r="AD182" s="48"/>
      <c r="AE182" s="48"/>
      <c r="AF182" s="71"/>
      <c r="AG182" s="72"/>
      <c r="AH182" s="73"/>
      <c r="AI182" s="73"/>
      <c r="AJ182" s="73">
        <v>-300</v>
      </c>
      <c r="AK182" s="73"/>
      <c r="AL182" s="73">
        <v>3000</v>
      </c>
      <c r="AM182" s="73"/>
      <c r="AN182" s="73">
        <v>583.34</v>
      </c>
      <c r="AO182" s="73"/>
      <c r="AP182" s="73">
        <v>78.739999999999995</v>
      </c>
      <c r="AQ182" s="73"/>
      <c r="AR182" s="73">
        <f t="shared" si="163"/>
        <v>750</v>
      </c>
      <c r="AS182" s="73">
        <f t="shared" si="164"/>
        <v>157.47999999999999</v>
      </c>
      <c r="AT182" s="73"/>
      <c r="AU182" s="116"/>
      <c r="AV182" s="73">
        <v>3000</v>
      </c>
      <c r="AW182" s="116"/>
      <c r="AX182" s="234">
        <f t="shared" si="157"/>
        <v>-2416.66</v>
      </c>
      <c r="AY182" s="234"/>
      <c r="AZ182" s="73">
        <v>360</v>
      </c>
      <c r="BA182" s="73"/>
      <c r="BB182" s="73"/>
      <c r="BC182" s="235"/>
      <c r="BD182" s="73">
        <v>830.61</v>
      </c>
      <c r="BE182" s="73"/>
      <c r="BF182" s="73"/>
      <c r="BG182" s="73">
        <v>3000</v>
      </c>
      <c r="BH182" s="73"/>
      <c r="BI182" s="250">
        <v>19.899999999999999</v>
      </c>
      <c r="BJ182" s="73"/>
      <c r="BK182" s="73">
        <v>0</v>
      </c>
      <c r="BL182" s="73"/>
      <c r="BM182" s="236">
        <f t="shared" si="165"/>
        <v>-3000</v>
      </c>
      <c r="BN182" s="236"/>
      <c r="BO182" s="73">
        <v>0</v>
      </c>
      <c r="BP182" s="73"/>
      <c r="BQ182" s="237">
        <v>106.79</v>
      </c>
      <c r="BR182" s="237"/>
      <c r="BS182" s="237">
        <f t="shared" si="118"/>
        <v>106.79</v>
      </c>
      <c r="BT182" s="236"/>
      <c r="BU182" s="73">
        <v>3000</v>
      </c>
      <c r="BV182" s="236"/>
      <c r="BW182" s="236">
        <f t="shared" si="141"/>
        <v>3000</v>
      </c>
      <c r="BX182" s="238"/>
      <c r="BY182" s="251" t="s">
        <v>204</v>
      </c>
      <c r="BZ182" s="237">
        <v>16</v>
      </c>
      <c r="CA182" s="237"/>
      <c r="CB182" s="93">
        <v>1000</v>
      </c>
      <c r="CC182" s="93"/>
      <c r="CD182" s="93">
        <v>0</v>
      </c>
      <c r="CE182" s="93"/>
      <c r="CF182" s="93">
        <v>0</v>
      </c>
      <c r="CG182" s="99"/>
      <c r="CH182" s="103">
        <f t="shared" si="148"/>
        <v>-1000</v>
      </c>
      <c r="CI182" s="129"/>
      <c r="CJ182" s="320" t="s">
        <v>304</v>
      </c>
    </row>
    <row r="183" spans="1:88" s="7" customFormat="1" ht="17.25" customHeight="1" thickBot="1" x14ac:dyDescent="0.25">
      <c r="A183" s="6"/>
      <c r="B183" s="27" t="s">
        <v>141</v>
      </c>
      <c r="C183" s="28"/>
      <c r="D183" s="28"/>
      <c r="E183" s="29"/>
      <c r="F183" s="28"/>
      <c r="G183" s="30">
        <f>ROUND(SUM(G177:G182),5)</f>
        <v>195.54</v>
      </c>
      <c r="H183" s="31"/>
      <c r="I183" s="30">
        <f>ROUND(SUM(I177:I182),5)</f>
        <v>1208.3699999999999</v>
      </c>
      <c r="J183" s="31"/>
      <c r="K183" s="30">
        <f t="shared" si="158"/>
        <v>-1012.83</v>
      </c>
      <c r="L183" s="31"/>
      <c r="M183" s="32">
        <f t="shared" si="159"/>
        <v>0.16181999999999999</v>
      </c>
      <c r="N183" s="31"/>
      <c r="O183" s="30">
        <f>ROUND(SUM(O177:O182),5)</f>
        <v>566.34</v>
      </c>
      <c r="P183" s="31"/>
      <c r="Q183" s="30">
        <f>ROUND(SUM(Q177:Q182),5)</f>
        <v>1208.33</v>
      </c>
      <c r="R183" s="31"/>
      <c r="S183" s="30">
        <f t="shared" si="160"/>
        <v>-641.99</v>
      </c>
      <c r="T183" s="31"/>
      <c r="U183" s="32">
        <f t="shared" si="161"/>
        <v>0.46870000000000001</v>
      </c>
      <c r="V183" s="31"/>
      <c r="W183" s="76">
        <f>SUM(W178:W182)</f>
        <v>2303.2799999999997</v>
      </c>
      <c r="X183" s="76"/>
      <c r="Y183" s="76">
        <f>SUM(Y178:Y182)</f>
        <v>1208.33</v>
      </c>
      <c r="Z183" s="76"/>
      <c r="AA183" s="76">
        <f t="shared" si="162"/>
        <v>1094.95</v>
      </c>
      <c r="AB183" s="76"/>
      <c r="AC183" s="76"/>
      <c r="AD183" s="48">
        <v>4500</v>
      </c>
      <c r="AE183" s="48"/>
      <c r="AF183" s="39">
        <v>2136.11</v>
      </c>
      <c r="AG183" s="40"/>
      <c r="AH183" s="41">
        <v>4000</v>
      </c>
      <c r="AI183" s="41"/>
      <c r="AJ183" s="41">
        <v>10034.85</v>
      </c>
      <c r="AK183" s="41"/>
      <c r="AL183" s="41">
        <f>SUM(AL178:AL182)</f>
        <v>14500</v>
      </c>
      <c r="AM183" s="41"/>
      <c r="AN183" s="41">
        <f>SUM(AN178:AN182)</f>
        <v>17289.740000000002</v>
      </c>
      <c r="AO183" s="41"/>
      <c r="AP183" s="41">
        <f>SUM(AP178:AP182)</f>
        <v>8148.7</v>
      </c>
      <c r="AQ183" s="41"/>
      <c r="AR183" s="41">
        <f>SUM(AR178:AR182)</f>
        <v>3625.0299999999997</v>
      </c>
      <c r="AS183" s="41">
        <f t="shared" si="164"/>
        <v>16297.4</v>
      </c>
      <c r="AT183" s="41"/>
      <c r="AU183" s="42"/>
      <c r="AV183" s="189">
        <f>SUM(AV178:AV182)</f>
        <v>19500</v>
      </c>
      <c r="AW183" s="166"/>
      <c r="AX183" s="241">
        <f t="shared" si="157"/>
        <v>2789.7400000000016</v>
      </c>
      <c r="AY183" s="241"/>
      <c r="AZ183" s="189">
        <f>SUM(AZ178:AZ182)</f>
        <v>39.819999999999993</v>
      </c>
      <c r="BA183" s="189"/>
      <c r="BB183" s="189"/>
      <c r="BC183" s="242"/>
      <c r="BD183" s="189">
        <f>SUM(BD178:BD182)</f>
        <v>5734.6499999999987</v>
      </c>
      <c r="BE183" s="189"/>
      <c r="BF183" s="189"/>
      <c r="BG183" s="189">
        <f>SUM(BG178:BG182)</f>
        <v>19500</v>
      </c>
      <c r="BH183" s="189"/>
      <c r="BI183" s="189">
        <f>SUM(BI178:BI182)</f>
        <v>13867.67</v>
      </c>
      <c r="BJ183" s="189"/>
      <c r="BK183" s="189">
        <f>BK182+BK178</f>
        <v>12000</v>
      </c>
      <c r="BL183" s="189"/>
      <c r="BM183" s="243">
        <f t="shared" si="165"/>
        <v>-7500</v>
      </c>
      <c r="BN183" s="243"/>
      <c r="BO183" s="189">
        <f>SUM(BO178:BO182)</f>
        <v>10648.97</v>
      </c>
      <c r="BP183" s="189"/>
      <c r="BQ183" s="244">
        <f>BQ182+BQ178</f>
        <v>12842.78</v>
      </c>
      <c r="BR183" s="244"/>
      <c r="BS183" s="244">
        <f t="shared" si="118"/>
        <v>842.78000000000065</v>
      </c>
      <c r="BT183" s="243"/>
      <c r="BU183" s="189">
        <f>SUM(BU178:BU182)</f>
        <v>13000</v>
      </c>
      <c r="BV183" s="243"/>
      <c r="BW183" s="243">
        <f t="shared" si="141"/>
        <v>1000</v>
      </c>
      <c r="BX183" s="238"/>
      <c r="BY183" s="251"/>
      <c r="BZ183" s="189">
        <f>SUM(BZ178:BZ182)</f>
        <v>2450.35</v>
      </c>
      <c r="CA183" s="189"/>
      <c r="CB183" s="167">
        <f>SUM(CB178:CB182)</f>
        <v>11000</v>
      </c>
      <c r="CC183" s="167"/>
      <c r="CD183" s="167">
        <f>SUM(CD178:CD182)</f>
        <v>10825.14</v>
      </c>
      <c r="CE183" s="167"/>
      <c r="CF183" s="167">
        <f>SUM(CF178:CF182)</f>
        <v>10000</v>
      </c>
      <c r="CG183" s="107"/>
      <c r="CH183" s="103">
        <f t="shared" si="148"/>
        <v>-1000</v>
      </c>
      <c r="CI183" s="96"/>
      <c r="CJ183" s="322"/>
    </row>
    <row r="184" spans="1:88" s="7" customFormat="1" ht="15" customHeight="1" x14ac:dyDescent="0.2">
      <c r="A184" s="6"/>
      <c r="B184" s="27" t="s">
        <v>190</v>
      </c>
      <c r="C184" s="28"/>
      <c r="D184" s="28"/>
      <c r="E184" s="29"/>
      <c r="F184" s="28"/>
      <c r="G184" s="30"/>
      <c r="H184" s="31"/>
      <c r="I184" s="30"/>
      <c r="J184" s="31"/>
      <c r="K184" s="30"/>
      <c r="L184" s="31"/>
      <c r="M184" s="32"/>
      <c r="N184" s="31"/>
      <c r="O184" s="30"/>
      <c r="P184" s="31"/>
      <c r="Q184" s="30"/>
      <c r="R184" s="31"/>
      <c r="S184" s="30"/>
      <c r="T184" s="31"/>
      <c r="U184" s="32"/>
      <c r="V184" s="31"/>
      <c r="W184" s="33"/>
      <c r="X184" s="33"/>
      <c r="Y184" s="33"/>
      <c r="Z184" s="33"/>
      <c r="AA184" s="33"/>
      <c r="AB184" s="33"/>
      <c r="AC184" s="33"/>
      <c r="AD184" s="34"/>
      <c r="AE184" s="34"/>
      <c r="AF184" s="39"/>
      <c r="AG184" s="40"/>
      <c r="AH184" s="41"/>
      <c r="AI184" s="41"/>
      <c r="AJ184" s="41"/>
      <c r="AK184" s="41"/>
      <c r="AL184" s="41"/>
      <c r="AM184" s="41"/>
      <c r="AN184" s="41"/>
      <c r="AO184" s="41"/>
      <c r="AP184" s="41"/>
      <c r="AQ184" s="41"/>
      <c r="AR184" s="41"/>
      <c r="AS184" s="41"/>
      <c r="AT184" s="41"/>
      <c r="AU184" s="42"/>
      <c r="AV184" s="41"/>
      <c r="AW184" s="42"/>
      <c r="AX184" s="230"/>
      <c r="AY184" s="230"/>
      <c r="AZ184" s="41"/>
      <c r="BA184" s="41"/>
      <c r="BB184" s="41"/>
      <c r="BC184" s="246"/>
      <c r="BD184" s="41"/>
      <c r="BE184" s="41"/>
      <c r="BF184" s="41"/>
      <c r="BG184" s="41"/>
      <c r="BH184" s="41"/>
      <c r="BI184" s="41"/>
      <c r="BJ184" s="41"/>
      <c r="BK184" s="41"/>
      <c r="BL184" s="41"/>
      <c r="BM184" s="247"/>
      <c r="BN184" s="247"/>
      <c r="BO184" s="41"/>
      <c r="BP184" s="41"/>
      <c r="BQ184" s="248"/>
      <c r="BR184" s="248"/>
      <c r="BS184" s="248"/>
      <c r="BT184" s="247"/>
      <c r="BU184" s="41"/>
      <c r="BV184" s="247"/>
      <c r="BW184" s="247">
        <f t="shared" si="141"/>
        <v>0</v>
      </c>
      <c r="BX184" s="238"/>
      <c r="BY184" s="251"/>
      <c r="BZ184" s="248"/>
      <c r="CA184" s="248"/>
      <c r="CB184" s="79"/>
      <c r="CC184" s="79"/>
      <c r="CD184" s="79"/>
      <c r="CE184" s="79"/>
      <c r="CF184" s="79"/>
      <c r="CG184" s="198"/>
      <c r="CH184" s="199"/>
      <c r="CI184" s="199"/>
      <c r="CJ184" s="311"/>
    </row>
    <row r="185" spans="1:88" s="7" customFormat="1" ht="15" customHeight="1" x14ac:dyDescent="0.2">
      <c r="A185" s="6"/>
      <c r="B185" s="124"/>
      <c r="C185" s="363" t="s">
        <v>201</v>
      </c>
      <c r="D185" s="363"/>
      <c r="E185" s="363"/>
      <c r="F185" s="363"/>
      <c r="G185" s="30">
        <v>270.35000000000002</v>
      </c>
      <c r="H185" s="31"/>
      <c r="I185" s="30">
        <v>5000</v>
      </c>
      <c r="J185" s="31"/>
      <c r="K185" s="30">
        <f>ROUND((G185-I185),5)</f>
        <v>-4729.6499999999996</v>
      </c>
      <c r="L185" s="31"/>
      <c r="M185" s="32">
        <f>ROUND(IF(I185=0, IF(G185=0, 0, 1), G185/I185),5)</f>
        <v>5.407E-2</v>
      </c>
      <c r="N185" s="31"/>
      <c r="O185" s="30">
        <v>8950</v>
      </c>
      <c r="P185" s="31"/>
      <c r="Q185" s="30">
        <v>5000</v>
      </c>
      <c r="R185" s="31"/>
      <c r="S185" s="30">
        <f>ROUND((O185-Q185),5)</f>
        <v>3950</v>
      </c>
      <c r="T185" s="31"/>
      <c r="U185" s="32">
        <f>ROUND(IF(Q185=0, IF(O185=0, 0, 1), O185/Q185),5)</f>
        <v>1.79</v>
      </c>
      <c r="V185" s="31"/>
      <c r="W185" s="33">
        <v>7722.75</v>
      </c>
      <c r="X185" s="33"/>
      <c r="Y185" s="33">
        <v>5000</v>
      </c>
      <c r="Z185" s="33"/>
      <c r="AA185" s="33">
        <f>ROUND((W185-Y185),5)</f>
        <v>2722.75</v>
      </c>
      <c r="AB185" s="33"/>
      <c r="AC185" s="33"/>
      <c r="AD185" s="34">
        <v>45000</v>
      </c>
      <c r="AE185" s="34"/>
      <c r="AF185" s="49">
        <v>39591.32</v>
      </c>
      <c r="AG185" s="50"/>
      <c r="AH185" s="51">
        <v>60000</v>
      </c>
      <c r="AI185" s="51"/>
      <c r="AJ185" s="51">
        <v>68904.399999999994</v>
      </c>
      <c r="AK185" s="51"/>
      <c r="AL185" s="51">
        <v>60000</v>
      </c>
      <c r="AM185" s="51"/>
      <c r="AN185" s="51">
        <v>79444.240000000005</v>
      </c>
      <c r="AO185" s="51"/>
      <c r="AP185" s="51">
        <v>38188.1</v>
      </c>
      <c r="AQ185" s="51"/>
      <c r="AR185" s="51">
        <f>ROUND(I185+Q185+Y185,5)</f>
        <v>15000</v>
      </c>
      <c r="AS185" s="51">
        <f>AP185*2</f>
        <v>76376.2</v>
      </c>
      <c r="AT185" s="51"/>
      <c r="AU185" s="65"/>
      <c r="AV185" s="51">
        <v>88000</v>
      </c>
      <c r="AW185" s="65"/>
      <c r="AX185" s="252">
        <f>AN185-AL185</f>
        <v>19444.240000000005</v>
      </c>
      <c r="AY185" s="252"/>
      <c r="AZ185" s="51">
        <v>36695</v>
      </c>
      <c r="BA185" s="51"/>
      <c r="BB185" s="51"/>
      <c r="BC185" s="253"/>
      <c r="BD185" s="51">
        <v>80623.86</v>
      </c>
      <c r="BE185" s="51"/>
      <c r="BF185" s="51"/>
      <c r="BG185" s="51">
        <v>85000</v>
      </c>
      <c r="BH185" s="51"/>
      <c r="BI185" s="51">
        <v>88515</v>
      </c>
      <c r="BJ185" s="51"/>
      <c r="BK185" s="51">
        <v>88500</v>
      </c>
      <c r="BL185" s="51"/>
      <c r="BM185" s="238">
        <f>BK185-BG185</f>
        <v>3500</v>
      </c>
      <c r="BN185" s="238"/>
      <c r="BO185" s="51">
        <v>44151.34</v>
      </c>
      <c r="BP185" s="51"/>
      <c r="BQ185" s="254">
        <v>83571.34</v>
      </c>
      <c r="BR185" s="254"/>
      <c r="BS185" s="254">
        <f t="shared" si="118"/>
        <v>-4928.6600000000035</v>
      </c>
      <c r="BT185" s="238"/>
      <c r="BU185" s="51">
        <v>85000</v>
      </c>
      <c r="BV185" s="238"/>
      <c r="BW185" s="238">
        <f t="shared" si="141"/>
        <v>-3500</v>
      </c>
      <c r="BX185" s="238"/>
      <c r="BY185" s="251" t="s">
        <v>204</v>
      </c>
      <c r="BZ185" s="254">
        <v>73220</v>
      </c>
      <c r="CA185" s="255"/>
      <c r="CB185" s="222">
        <v>85000</v>
      </c>
      <c r="CC185" s="222"/>
      <c r="CD185" s="222">
        <v>68870</v>
      </c>
      <c r="CE185" s="222"/>
      <c r="CF185" s="222">
        <v>75000</v>
      </c>
      <c r="CG185" s="223"/>
      <c r="CH185" s="200">
        <f>CF185-CB185</f>
        <v>-10000</v>
      </c>
      <c r="CI185" s="200"/>
      <c r="CJ185" s="293" t="s">
        <v>305</v>
      </c>
    </row>
    <row r="186" spans="1:88" s="7" customFormat="1" ht="13.5" customHeight="1" x14ac:dyDescent="0.2">
      <c r="A186" s="6"/>
      <c r="B186" s="124"/>
      <c r="C186" s="363" t="s">
        <v>212</v>
      </c>
      <c r="D186" s="363"/>
      <c r="E186" s="363"/>
      <c r="F186" s="363"/>
      <c r="G186" s="30">
        <v>2987.85</v>
      </c>
      <c r="H186" s="31"/>
      <c r="I186" s="30">
        <v>3125</v>
      </c>
      <c r="J186" s="31"/>
      <c r="K186" s="30">
        <f>ROUND((G186-I186),5)</f>
        <v>-137.15</v>
      </c>
      <c r="L186" s="31"/>
      <c r="M186" s="32">
        <f>ROUND(IF(I186=0, IF(G186=0, 0, 1), G186/I186),5)</f>
        <v>0.95611000000000002</v>
      </c>
      <c r="N186" s="31"/>
      <c r="O186" s="30">
        <v>2612.8000000000002</v>
      </c>
      <c r="P186" s="31"/>
      <c r="Q186" s="30">
        <v>3125</v>
      </c>
      <c r="R186" s="31"/>
      <c r="S186" s="30">
        <f>ROUND((O186-Q186),5)</f>
        <v>-512.20000000000005</v>
      </c>
      <c r="T186" s="31"/>
      <c r="U186" s="32">
        <f>ROUND(IF(Q186=0, IF(O186=0, 0, 1), O186/Q186),5)</f>
        <v>0.83609999999999995</v>
      </c>
      <c r="V186" s="31"/>
      <c r="W186" s="33">
        <v>874.4</v>
      </c>
      <c r="X186" s="33"/>
      <c r="Y186" s="33">
        <v>3125</v>
      </c>
      <c r="Z186" s="33"/>
      <c r="AA186" s="33">
        <f>ROUND((W186-Y186),5)</f>
        <v>-2250.6</v>
      </c>
      <c r="AB186" s="33"/>
      <c r="AC186" s="33"/>
      <c r="AD186" s="34">
        <v>50000</v>
      </c>
      <c r="AE186" s="34"/>
      <c r="AF186" s="49">
        <v>50073.45</v>
      </c>
      <c r="AG186" s="50"/>
      <c r="AH186" s="51">
        <v>40000</v>
      </c>
      <c r="AI186" s="51"/>
      <c r="AJ186" s="51">
        <v>38112.959999999999</v>
      </c>
      <c r="AK186" s="51"/>
      <c r="AL186" s="51">
        <v>37500</v>
      </c>
      <c r="AM186" s="51"/>
      <c r="AN186" s="51">
        <v>27211.02</v>
      </c>
      <c r="AO186" s="51"/>
      <c r="AP186" s="51">
        <v>10765.97</v>
      </c>
      <c r="AQ186" s="51"/>
      <c r="AR186" s="51">
        <f>ROUND(I186+Q186+Y186,5)</f>
        <v>9375</v>
      </c>
      <c r="AS186" s="51">
        <f>AP186*2</f>
        <v>21531.94</v>
      </c>
      <c r="AT186" s="51"/>
      <c r="AU186" s="65"/>
      <c r="AV186" s="51">
        <v>30000</v>
      </c>
      <c r="AW186" s="65"/>
      <c r="AX186" s="252">
        <f>AN186-AL186</f>
        <v>-10288.98</v>
      </c>
      <c r="AY186" s="252"/>
      <c r="AZ186" s="51">
        <v>16343.95</v>
      </c>
      <c r="BA186" s="51"/>
      <c r="BB186" s="51"/>
      <c r="BC186" s="253"/>
      <c r="BD186" s="51">
        <v>42803.69</v>
      </c>
      <c r="BE186" s="51"/>
      <c r="BF186" s="51"/>
      <c r="BG186" s="51">
        <v>30000</v>
      </c>
      <c r="BH186" s="51"/>
      <c r="BI186" s="51">
        <v>38109.22</v>
      </c>
      <c r="BJ186" s="51"/>
      <c r="BK186" s="51">
        <v>60000</v>
      </c>
      <c r="BL186" s="51"/>
      <c r="BM186" s="238">
        <f>BK186-BG186</f>
        <v>30000</v>
      </c>
      <c r="BN186" s="238"/>
      <c r="BO186" s="51">
        <v>30194.18</v>
      </c>
      <c r="BP186" s="51"/>
      <c r="BQ186" s="254">
        <v>52488.66</v>
      </c>
      <c r="BR186" s="254"/>
      <c r="BS186" s="254">
        <f t="shared" si="118"/>
        <v>-7511.3399999999965</v>
      </c>
      <c r="BT186" s="238"/>
      <c r="BU186" s="51">
        <v>40000</v>
      </c>
      <c r="BV186" s="238"/>
      <c r="BW186" s="238">
        <f t="shared" si="141"/>
        <v>-20000</v>
      </c>
      <c r="BX186" s="238"/>
      <c r="BY186" s="251" t="s">
        <v>204</v>
      </c>
      <c r="BZ186" s="256">
        <v>57864.26</v>
      </c>
      <c r="CA186" s="257"/>
      <c r="CB186" s="258">
        <v>42000</v>
      </c>
      <c r="CC186" s="258"/>
      <c r="CD186" s="258">
        <v>48913</v>
      </c>
      <c r="CE186" s="258"/>
      <c r="CF186" s="258">
        <v>42000</v>
      </c>
      <c r="CG186" s="258"/>
      <c r="CH186" s="200">
        <f t="shared" ref="CH186:CH188" si="168">CF186-CB186</f>
        <v>0</v>
      </c>
      <c r="CI186" s="200"/>
      <c r="CJ186" s="318" t="s">
        <v>204</v>
      </c>
    </row>
    <row r="187" spans="1:88" ht="16.5" customHeight="1" x14ac:dyDescent="0.2">
      <c r="A187" s="4"/>
      <c r="B187" s="27"/>
      <c r="C187" s="363" t="s">
        <v>231</v>
      </c>
      <c r="D187" s="363"/>
      <c r="E187" s="363"/>
      <c r="F187" s="363"/>
      <c r="G187" s="30"/>
      <c r="H187" s="31"/>
      <c r="I187" s="30"/>
      <c r="J187" s="31"/>
      <c r="K187" s="30"/>
      <c r="L187" s="31"/>
      <c r="M187" s="32"/>
      <c r="N187" s="31"/>
      <c r="O187" s="30"/>
      <c r="P187" s="31"/>
      <c r="Q187" s="30"/>
      <c r="R187" s="31"/>
      <c r="S187" s="30"/>
      <c r="T187" s="31"/>
      <c r="U187" s="32"/>
      <c r="V187" s="31"/>
      <c r="W187" s="33"/>
      <c r="X187" s="33"/>
      <c r="Y187" s="33"/>
      <c r="Z187" s="33"/>
      <c r="AA187" s="33"/>
      <c r="AB187" s="33"/>
      <c r="AC187" s="33"/>
      <c r="AD187" s="34"/>
      <c r="AE187" s="34"/>
      <c r="AF187" s="49"/>
      <c r="AG187" s="50"/>
      <c r="AH187" s="51"/>
      <c r="AI187" s="51"/>
      <c r="AJ187" s="51"/>
      <c r="AK187" s="51"/>
      <c r="AL187" s="51"/>
      <c r="AM187" s="51"/>
      <c r="AN187" s="51">
        <v>245</v>
      </c>
      <c r="AO187" s="51"/>
      <c r="AP187" s="51"/>
      <c r="AQ187" s="51"/>
      <c r="AR187" s="51"/>
      <c r="AS187" s="51"/>
      <c r="AT187" s="51"/>
      <c r="AU187" s="65"/>
      <c r="AV187" s="54">
        <f>5000+5000</f>
        <v>10000</v>
      </c>
      <c r="AW187" s="55"/>
      <c r="AX187" s="56"/>
      <c r="AY187" s="88"/>
      <c r="AZ187" s="89">
        <v>7913.48</v>
      </c>
      <c r="BA187" s="54"/>
      <c r="BB187" s="54"/>
      <c r="BC187" s="60"/>
      <c r="BD187" s="54">
        <v>9568.58</v>
      </c>
      <c r="BE187" s="54"/>
      <c r="BF187" s="54"/>
      <c r="BG187" s="54">
        <v>35000</v>
      </c>
      <c r="BH187" s="54"/>
      <c r="BI187" s="57">
        <v>9977.7099999999991</v>
      </c>
      <c r="BJ187" s="54"/>
      <c r="BK187" s="54">
        <v>13000</v>
      </c>
      <c r="BL187" s="54"/>
      <c r="BM187" s="58">
        <f>BK187-BG187</f>
        <v>-22000</v>
      </c>
      <c r="BN187" s="58"/>
      <c r="BO187" s="54">
        <v>6322.25</v>
      </c>
      <c r="BP187" s="54"/>
      <c r="BQ187" s="66">
        <v>7032.25</v>
      </c>
      <c r="BR187" s="66"/>
      <c r="BS187" s="66">
        <f>BQ187-BK187</f>
        <v>-5967.75</v>
      </c>
      <c r="BT187" s="58"/>
      <c r="BU187" s="54">
        <v>13000</v>
      </c>
      <c r="BV187" s="58"/>
      <c r="BW187" s="58">
        <f t="shared" si="141"/>
        <v>0</v>
      </c>
      <c r="BX187" s="58"/>
      <c r="BY187" s="91" t="s">
        <v>306</v>
      </c>
      <c r="BZ187" s="66">
        <v>6505</v>
      </c>
      <c r="CA187" s="85"/>
      <c r="CB187" s="79">
        <v>10000</v>
      </c>
      <c r="CC187" s="79"/>
      <c r="CD187" s="79">
        <v>1270</v>
      </c>
      <c r="CE187" s="79"/>
      <c r="CF187" s="79">
        <v>10000</v>
      </c>
      <c r="CG187" s="198"/>
      <c r="CH187" s="200">
        <f t="shared" si="168"/>
        <v>0</v>
      </c>
      <c r="CI187" s="200"/>
      <c r="CJ187" s="295" t="s">
        <v>204</v>
      </c>
    </row>
    <row r="188" spans="1:88" s="7" customFormat="1" ht="15" customHeight="1" thickBot="1" x14ac:dyDescent="0.25">
      <c r="A188" s="6"/>
      <c r="B188" s="124"/>
      <c r="C188" s="28" t="s">
        <v>175</v>
      </c>
      <c r="D188" s="28"/>
      <c r="E188" s="29"/>
      <c r="F188" s="28"/>
      <c r="G188" s="28"/>
      <c r="H188" s="31"/>
      <c r="I188" s="30"/>
      <c r="J188" s="31"/>
      <c r="K188" s="30"/>
      <c r="L188" s="31"/>
      <c r="M188" s="32"/>
      <c r="N188" s="31"/>
      <c r="O188" s="30"/>
      <c r="P188" s="31"/>
      <c r="Q188" s="30"/>
      <c r="R188" s="31"/>
      <c r="S188" s="30"/>
      <c r="T188" s="31"/>
      <c r="U188" s="32"/>
      <c r="V188" s="31"/>
      <c r="W188" s="33"/>
      <c r="X188" s="33"/>
      <c r="Y188" s="33"/>
      <c r="Z188" s="33"/>
      <c r="AA188" s="33"/>
      <c r="AB188" s="33"/>
      <c r="AC188" s="33"/>
      <c r="AD188" s="34"/>
      <c r="AE188" s="34"/>
      <c r="AF188" s="49"/>
      <c r="AG188" s="50"/>
      <c r="AH188" s="51"/>
      <c r="AI188" s="51"/>
      <c r="AJ188" s="51"/>
      <c r="AK188" s="51"/>
      <c r="AL188" s="73"/>
      <c r="AM188" s="73"/>
      <c r="AN188" s="73"/>
      <c r="AO188" s="73"/>
      <c r="AP188" s="73"/>
      <c r="AQ188" s="73"/>
      <c r="AR188" s="73"/>
      <c r="AS188" s="73"/>
      <c r="AT188" s="73"/>
      <c r="AU188" s="116"/>
      <c r="AV188" s="93"/>
      <c r="AW188" s="94"/>
      <c r="AX188" s="95"/>
      <c r="AY188" s="95"/>
      <c r="AZ188" s="93"/>
      <c r="BA188" s="93"/>
      <c r="BB188" s="93"/>
      <c r="BC188" s="99"/>
      <c r="BD188" s="93"/>
      <c r="BE188" s="93"/>
      <c r="BF188" s="93"/>
      <c r="BG188" s="93">
        <v>7000</v>
      </c>
      <c r="BH188" s="93"/>
      <c r="BI188" s="93">
        <v>933.68</v>
      </c>
      <c r="BJ188" s="93"/>
      <c r="BK188" s="93">
        <v>7000</v>
      </c>
      <c r="BL188" s="93"/>
      <c r="BM188" s="101">
        <f>BK188-BG188</f>
        <v>0</v>
      </c>
      <c r="BN188" s="101"/>
      <c r="BO188" s="93">
        <v>2141.63</v>
      </c>
      <c r="BP188" s="93"/>
      <c r="BQ188" s="102">
        <v>4249.13</v>
      </c>
      <c r="BR188" s="102"/>
      <c r="BS188" s="102">
        <f t="shared" si="118"/>
        <v>-2750.87</v>
      </c>
      <c r="BT188" s="101"/>
      <c r="BU188" s="93">
        <v>7000</v>
      </c>
      <c r="BV188" s="101"/>
      <c r="BW188" s="101">
        <f t="shared" si="141"/>
        <v>0</v>
      </c>
      <c r="BX188" s="58"/>
      <c r="BY188" s="90" t="s">
        <v>204</v>
      </c>
      <c r="BZ188" s="102">
        <v>1708.7</v>
      </c>
      <c r="CA188" s="102"/>
      <c r="CB188" s="93">
        <v>7000</v>
      </c>
      <c r="CC188" s="93"/>
      <c r="CD188" s="93">
        <v>1162.6400000000001</v>
      </c>
      <c r="CE188" s="93"/>
      <c r="CF188" s="93">
        <v>7000</v>
      </c>
      <c r="CG188" s="223"/>
      <c r="CH188" s="200">
        <f t="shared" si="168"/>
        <v>0</v>
      </c>
      <c r="CI188" s="224"/>
      <c r="CJ188" s="304" t="s">
        <v>204</v>
      </c>
    </row>
    <row r="189" spans="1:88" s="7" customFormat="1" ht="15" customHeight="1" thickBot="1" x14ac:dyDescent="0.25">
      <c r="A189" s="6"/>
      <c r="B189" s="259" t="s">
        <v>191</v>
      </c>
      <c r="C189" s="28"/>
      <c r="D189" s="28"/>
      <c r="E189" s="29"/>
      <c r="F189" s="28"/>
      <c r="G189" s="28"/>
      <c r="H189" s="31"/>
      <c r="I189" s="30"/>
      <c r="J189" s="31"/>
      <c r="K189" s="30"/>
      <c r="L189" s="31"/>
      <c r="M189" s="32"/>
      <c r="N189" s="31"/>
      <c r="O189" s="30"/>
      <c r="P189" s="31"/>
      <c r="Q189" s="30"/>
      <c r="R189" s="31"/>
      <c r="S189" s="30"/>
      <c r="T189" s="31"/>
      <c r="U189" s="32"/>
      <c r="V189" s="31"/>
      <c r="W189" s="33"/>
      <c r="X189" s="33"/>
      <c r="Y189" s="33"/>
      <c r="Z189" s="33"/>
      <c r="AA189" s="33"/>
      <c r="AB189" s="33"/>
      <c r="AC189" s="33"/>
      <c r="AD189" s="34"/>
      <c r="AE189" s="34"/>
      <c r="AF189" s="49"/>
      <c r="AG189" s="50"/>
      <c r="AH189" s="51"/>
      <c r="AI189" s="51"/>
      <c r="AJ189" s="51"/>
      <c r="AK189" s="51"/>
      <c r="AL189" s="148">
        <f>SUM(AL185:AL188)</f>
        <v>97500</v>
      </c>
      <c r="AM189" s="148"/>
      <c r="AN189" s="148">
        <f t="shared" ref="AN189:BO189" si="169">SUM(AN185:AN188)</f>
        <v>106900.26000000001</v>
      </c>
      <c r="AO189" s="148">
        <f t="shared" si="169"/>
        <v>0</v>
      </c>
      <c r="AP189" s="148">
        <f t="shared" si="169"/>
        <v>48954.07</v>
      </c>
      <c r="AQ189" s="148">
        <f t="shared" si="169"/>
        <v>0</v>
      </c>
      <c r="AR189" s="148">
        <f t="shared" si="169"/>
        <v>24375</v>
      </c>
      <c r="AS189" s="148">
        <f t="shared" si="169"/>
        <v>97908.14</v>
      </c>
      <c r="AT189" s="148">
        <f t="shared" si="169"/>
        <v>0</v>
      </c>
      <c r="AU189" s="148">
        <f t="shared" si="169"/>
        <v>0</v>
      </c>
      <c r="AV189" s="167">
        <f t="shared" si="169"/>
        <v>128000</v>
      </c>
      <c r="AW189" s="167">
        <f t="shared" si="169"/>
        <v>0</v>
      </c>
      <c r="AX189" s="167">
        <f t="shared" si="169"/>
        <v>9155.2600000000057</v>
      </c>
      <c r="AY189" s="167">
        <f t="shared" si="169"/>
        <v>0</v>
      </c>
      <c r="AZ189" s="167">
        <f t="shared" si="169"/>
        <v>60952.429999999993</v>
      </c>
      <c r="BA189" s="167">
        <f t="shared" si="169"/>
        <v>0</v>
      </c>
      <c r="BB189" s="167">
        <f t="shared" si="169"/>
        <v>0</v>
      </c>
      <c r="BC189" s="190">
        <f t="shared" si="169"/>
        <v>0</v>
      </c>
      <c r="BD189" s="167">
        <f t="shared" si="169"/>
        <v>132996.13</v>
      </c>
      <c r="BE189" s="167">
        <f t="shared" si="169"/>
        <v>0</v>
      </c>
      <c r="BF189" s="167">
        <f t="shared" si="169"/>
        <v>0</v>
      </c>
      <c r="BG189" s="167">
        <f t="shared" si="169"/>
        <v>157000</v>
      </c>
      <c r="BH189" s="167">
        <f t="shared" si="169"/>
        <v>0</v>
      </c>
      <c r="BI189" s="167">
        <f t="shared" si="169"/>
        <v>137535.60999999999</v>
      </c>
      <c r="BJ189" s="167">
        <f t="shared" si="169"/>
        <v>0</v>
      </c>
      <c r="BK189" s="167">
        <f t="shared" si="169"/>
        <v>168500</v>
      </c>
      <c r="BL189" s="167">
        <f t="shared" si="169"/>
        <v>0</v>
      </c>
      <c r="BM189" s="191">
        <f t="shared" si="169"/>
        <v>11500</v>
      </c>
      <c r="BN189" s="191"/>
      <c r="BO189" s="167">
        <f t="shared" si="169"/>
        <v>82809.399999999994</v>
      </c>
      <c r="BP189" s="167"/>
      <c r="BQ189" s="192">
        <f t="shared" si="129"/>
        <v>165618.79999999999</v>
      </c>
      <c r="BR189" s="192"/>
      <c r="BS189" s="192">
        <f t="shared" si="118"/>
        <v>-2881.2000000000116</v>
      </c>
      <c r="BT189" s="191"/>
      <c r="BU189" s="167">
        <f t="shared" ref="BU189" si="170">SUM(BU185:BU188)</f>
        <v>145000</v>
      </c>
      <c r="BV189" s="191"/>
      <c r="BW189" s="191">
        <f t="shared" si="141"/>
        <v>-23500</v>
      </c>
      <c r="BX189" s="58"/>
      <c r="BY189" s="91"/>
      <c r="BZ189" s="192">
        <f>SUM(BZ185:BZ188)</f>
        <v>139297.96000000002</v>
      </c>
      <c r="CA189" s="192"/>
      <c r="CB189" s="167">
        <f t="shared" ref="CB189:CD189" si="171">SUM(CB185:CB188)</f>
        <v>144000</v>
      </c>
      <c r="CC189" s="167"/>
      <c r="CD189" s="167">
        <f t="shared" si="171"/>
        <v>120215.64</v>
      </c>
      <c r="CE189" s="167"/>
      <c r="CF189" s="167">
        <f t="shared" ref="CF189" si="172">SUM(CF185:CF188)</f>
        <v>134000</v>
      </c>
      <c r="CG189" s="190"/>
      <c r="CH189" s="324">
        <f>-CB189+CF189</f>
        <v>-10000</v>
      </c>
      <c r="CI189" s="96"/>
      <c r="CJ189" s="322"/>
    </row>
    <row r="190" spans="1:88" s="7" customFormat="1" ht="18.75" customHeight="1" x14ac:dyDescent="0.2">
      <c r="A190" s="6"/>
      <c r="B190" s="27" t="s">
        <v>163</v>
      </c>
      <c r="C190" s="28"/>
      <c r="D190" s="28"/>
      <c r="E190" s="29"/>
      <c r="F190" s="28"/>
      <c r="G190" s="30">
        <v>699.95</v>
      </c>
      <c r="H190" s="31"/>
      <c r="I190" s="30">
        <v>11250</v>
      </c>
      <c r="J190" s="31"/>
      <c r="K190" s="30">
        <f>ROUND((G190-I190),5)</f>
        <v>-10550.05</v>
      </c>
      <c r="L190" s="31"/>
      <c r="M190" s="32">
        <f>ROUND(IF(I190=0, IF(G190=0, 0, 1), G190/I190),5)</f>
        <v>6.2219999999999998E-2</v>
      </c>
      <c r="N190" s="31"/>
      <c r="O190" s="30">
        <v>0</v>
      </c>
      <c r="P190" s="31"/>
      <c r="Q190" s="30">
        <v>11250</v>
      </c>
      <c r="R190" s="31"/>
      <c r="S190" s="30">
        <f>ROUND((O190-Q190),5)</f>
        <v>-11250</v>
      </c>
      <c r="T190" s="31"/>
      <c r="U190" s="32">
        <f>ROUND(IF(Q190=0, IF(O190=0, 0, 1), O190/Q190),5)</f>
        <v>0</v>
      </c>
      <c r="V190" s="31"/>
      <c r="W190" s="33">
        <v>0</v>
      </c>
      <c r="X190" s="33"/>
      <c r="Y190" s="33">
        <v>11250</v>
      </c>
      <c r="Z190" s="33"/>
      <c r="AA190" s="33">
        <f>ROUND((W190-Y190),5)</f>
        <v>-11250</v>
      </c>
      <c r="AB190" s="33"/>
      <c r="AC190" s="33"/>
      <c r="AD190" s="34">
        <v>108959.91</v>
      </c>
      <c r="AE190" s="34"/>
      <c r="AF190" s="260">
        <v>101450.64</v>
      </c>
      <c r="AG190" s="261"/>
      <c r="AH190" s="51">
        <v>147459.91</v>
      </c>
      <c r="AI190" s="51"/>
      <c r="AJ190" s="51">
        <v>173471.51</v>
      </c>
      <c r="AK190" s="51"/>
      <c r="AL190" s="51">
        <v>135000</v>
      </c>
      <c r="AM190" s="51"/>
      <c r="AN190" s="51">
        <v>312812.62</v>
      </c>
      <c r="AO190" s="51"/>
      <c r="AP190" s="51">
        <v>19656.95</v>
      </c>
      <c r="AQ190" s="51"/>
      <c r="AR190" s="51">
        <f>ROUND(I190+Q190+Y190,5)</f>
        <v>33750</v>
      </c>
      <c r="AS190" s="51">
        <f t="shared" ref="AS190:AS197" si="173">AP190*2</f>
        <v>39313.9</v>
      </c>
      <c r="AT190" s="51"/>
      <c r="AU190" s="65"/>
      <c r="AV190" s="79">
        <v>26964.51</v>
      </c>
      <c r="AW190" s="80"/>
      <c r="AX190" s="81">
        <f t="shared" ref="AX190:AX197" si="174">AN190-AL190</f>
        <v>177812.62</v>
      </c>
      <c r="AY190" s="81"/>
      <c r="AZ190" s="79">
        <v>20391.21</v>
      </c>
      <c r="BA190" s="79"/>
      <c r="BB190" s="79"/>
      <c r="BC190" s="83"/>
      <c r="BD190" s="79">
        <v>20405.189999999999</v>
      </c>
      <c r="BE190" s="79"/>
      <c r="BF190" s="79"/>
      <c r="BG190" s="79">
        <f>15286.58-3608.65-7000</f>
        <v>4677.93</v>
      </c>
      <c r="BH190" s="79"/>
      <c r="BI190" s="79">
        <v>730.72</v>
      </c>
      <c r="BJ190" s="79"/>
      <c r="BK190" s="79">
        <v>5325.48</v>
      </c>
      <c r="BL190" s="79"/>
      <c r="BM190" s="84">
        <f t="shared" si="165"/>
        <v>647.54999999999927</v>
      </c>
      <c r="BN190" s="84"/>
      <c r="BO190" s="79">
        <v>3285.2</v>
      </c>
      <c r="BP190" s="79"/>
      <c r="BQ190" s="85">
        <v>3304.19</v>
      </c>
      <c r="BR190" s="85"/>
      <c r="BS190" s="85">
        <f t="shared" si="118"/>
        <v>-2021.2899999999995</v>
      </c>
      <c r="BT190" s="84"/>
      <c r="BU190" s="79">
        <v>0</v>
      </c>
      <c r="BV190" s="84"/>
      <c r="BW190" s="84">
        <f t="shared" si="141"/>
        <v>-5325.48</v>
      </c>
      <c r="BX190" s="58"/>
      <c r="BY190" s="91"/>
      <c r="BZ190" s="85">
        <v>768.72</v>
      </c>
      <c r="CA190" s="85"/>
      <c r="CB190" s="79">
        <v>0</v>
      </c>
      <c r="CC190" s="79"/>
      <c r="CD190" s="79">
        <v>0</v>
      </c>
      <c r="CE190" s="79"/>
      <c r="CF190" s="79">
        <v>0</v>
      </c>
      <c r="CG190" s="198"/>
      <c r="CH190" s="199"/>
      <c r="CI190" s="199"/>
      <c r="CJ190" s="311"/>
    </row>
    <row r="191" spans="1:88" s="7" customFormat="1" ht="18.75" hidden="1" customHeight="1" x14ac:dyDescent="0.2">
      <c r="A191" s="6"/>
      <c r="B191" s="27"/>
      <c r="C191" s="28" t="s">
        <v>142</v>
      </c>
      <c r="D191" s="28"/>
      <c r="E191" s="29"/>
      <c r="F191" s="28"/>
      <c r="G191" s="30">
        <v>60</v>
      </c>
      <c r="H191" s="31"/>
      <c r="I191" s="30">
        <v>0</v>
      </c>
      <c r="J191" s="31"/>
      <c r="K191" s="30">
        <f t="shared" ref="K191:K196" si="175">ROUND((G191-I191),5)</f>
        <v>60</v>
      </c>
      <c r="L191" s="31"/>
      <c r="M191" s="32">
        <f t="shared" ref="M191:M196" si="176">ROUND(IF(I191=0, IF(G191=0, 0, 1), G191/I191),5)</f>
        <v>1</v>
      </c>
      <c r="N191" s="31"/>
      <c r="O191" s="30">
        <v>0</v>
      </c>
      <c r="P191" s="31"/>
      <c r="Q191" s="30">
        <v>0</v>
      </c>
      <c r="R191" s="31"/>
      <c r="S191" s="30">
        <f t="shared" ref="S191:S196" si="177">ROUND((O191-Q191),5)</f>
        <v>0</v>
      </c>
      <c r="T191" s="31"/>
      <c r="U191" s="32">
        <f t="shared" ref="U191:U196" si="178">ROUND(IF(Q191=0, IF(O191=0, 0, 1), O191/Q191),5)</f>
        <v>0</v>
      </c>
      <c r="V191" s="31"/>
      <c r="W191" s="33">
        <v>0</v>
      </c>
      <c r="X191" s="33"/>
      <c r="Y191" s="33">
        <v>0</v>
      </c>
      <c r="Z191" s="33"/>
      <c r="AA191" s="33">
        <f t="shared" ref="AA191:AA196" si="179">ROUND((W191-Y191),5)</f>
        <v>0</v>
      </c>
      <c r="AB191" s="33"/>
      <c r="AC191" s="33"/>
      <c r="AD191" s="34"/>
      <c r="AE191" s="34"/>
      <c r="AF191" s="260">
        <v>230433.24</v>
      </c>
      <c r="AG191" s="261"/>
      <c r="AH191" s="51">
        <v>43849.35</v>
      </c>
      <c r="AI191" s="51"/>
      <c r="AJ191" s="51">
        <v>43849.35</v>
      </c>
      <c r="AK191" s="51"/>
      <c r="AL191" s="51"/>
      <c r="AM191" s="51"/>
      <c r="AN191" s="51">
        <f>AP191*4</f>
        <v>240</v>
      </c>
      <c r="AO191" s="51"/>
      <c r="AP191" s="51">
        <f t="shared" ref="AP191:AP195" si="180">ROUND(G191+O191+W191,5)</f>
        <v>60</v>
      </c>
      <c r="AQ191" s="51"/>
      <c r="AR191" s="51">
        <f t="shared" ref="AR191:AR196" si="181">ROUND(I191+Q191+Y191,5)</f>
        <v>0</v>
      </c>
      <c r="AS191" s="51">
        <f t="shared" si="173"/>
        <v>120</v>
      </c>
      <c r="AT191" s="51"/>
      <c r="AU191" s="65"/>
      <c r="AV191" s="54"/>
      <c r="AW191" s="55"/>
      <c r="AX191" s="56">
        <f t="shared" si="174"/>
        <v>240</v>
      </c>
      <c r="AY191" s="56"/>
      <c r="AZ191" s="54"/>
      <c r="BA191" s="54"/>
      <c r="BB191" s="54"/>
      <c r="BC191" s="60"/>
      <c r="BD191" s="54">
        <f t="shared" ref="BD191:BD195" si="182">(AZ191/5)*12</f>
        <v>0</v>
      </c>
      <c r="BE191" s="54"/>
      <c r="BF191" s="54"/>
      <c r="BG191" s="54"/>
      <c r="BH191" s="54"/>
      <c r="BI191" s="54"/>
      <c r="BJ191" s="54"/>
      <c r="BK191" s="54"/>
      <c r="BL191" s="54"/>
      <c r="BM191" s="58">
        <f t="shared" si="165"/>
        <v>0</v>
      </c>
      <c r="BN191" s="58"/>
      <c r="BO191" s="54"/>
      <c r="BP191" s="54"/>
      <c r="BQ191" s="66">
        <f t="shared" si="129"/>
        <v>0</v>
      </c>
      <c r="BR191" s="66"/>
      <c r="BS191" s="66">
        <f t="shared" si="118"/>
        <v>0</v>
      </c>
      <c r="BT191" s="58"/>
      <c r="BU191" s="54">
        <f>BM191-BI191</f>
        <v>0</v>
      </c>
      <c r="BV191" s="58"/>
      <c r="BW191" s="58">
        <f t="shared" si="141"/>
        <v>0</v>
      </c>
      <c r="BX191" s="58"/>
      <c r="BY191" s="91"/>
      <c r="BZ191" s="66">
        <f t="shared" ref="BZ191:BZ195" si="183">BX191*2</f>
        <v>0</v>
      </c>
      <c r="CA191" s="66"/>
      <c r="CB191" s="54">
        <f t="shared" ref="CB191:CB195" si="184">BS191-BO191</f>
        <v>0</v>
      </c>
      <c r="CC191" s="54"/>
      <c r="CD191" s="54">
        <f>BT191-BP191</f>
        <v>0</v>
      </c>
      <c r="CE191" s="54"/>
      <c r="CF191" s="54">
        <f>BU191-BQ191</f>
        <v>0</v>
      </c>
      <c r="CG191" s="132"/>
      <c r="CH191" s="200">
        <f>CB191-BU191</f>
        <v>0</v>
      </c>
      <c r="CI191" s="200"/>
      <c r="CJ191" s="312"/>
    </row>
    <row r="192" spans="1:88" s="7" customFormat="1" ht="18.75" hidden="1" customHeight="1" x14ac:dyDescent="0.2">
      <c r="A192" s="6"/>
      <c r="B192" s="27"/>
      <c r="C192" s="28" t="s">
        <v>143</v>
      </c>
      <c r="D192" s="28"/>
      <c r="E192" s="29"/>
      <c r="F192" s="28"/>
      <c r="G192" s="30">
        <v>0</v>
      </c>
      <c r="H192" s="31"/>
      <c r="I192" s="30">
        <v>0</v>
      </c>
      <c r="J192" s="31"/>
      <c r="K192" s="30">
        <f t="shared" si="175"/>
        <v>0</v>
      </c>
      <c r="L192" s="31"/>
      <c r="M192" s="32">
        <f t="shared" si="176"/>
        <v>0</v>
      </c>
      <c r="N192" s="31"/>
      <c r="O192" s="30">
        <v>8888.8799999999992</v>
      </c>
      <c r="P192" s="31"/>
      <c r="Q192" s="30">
        <v>0</v>
      </c>
      <c r="R192" s="31"/>
      <c r="S192" s="30">
        <f t="shared" si="177"/>
        <v>8888.8799999999992</v>
      </c>
      <c r="T192" s="31"/>
      <c r="U192" s="32">
        <f t="shared" si="178"/>
        <v>1</v>
      </c>
      <c r="V192" s="31"/>
      <c r="W192" s="33">
        <v>0</v>
      </c>
      <c r="X192" s="33"/>
      <c r="Y192" s="33">
        <v>0</v>
      </c>
      <c r="Z192" s="33"/>
      <c r="AA192" s="33">
        <f t="shared" si="179"/>
        <v>0</v>
      </c>
      <c r="AB192" s="33"/>
      <c r="AC192" s="33"/>
      <c r="AD192" s="34"/>
      <c r="AE192" s="34"/>
      <c r="AF192" s="49"/>
      <c r="AG192" s="50"/>
      <c r="AH192" s="51">
        <v>-114528.13</v>
      </c>
      <c r="AI192" s="51"/>
      <c r="AJ192" s="51">
        <v>-114528.13</v>
      </c>
      <c r="AK192" s="51"/>
      <c r="AL192" s="51"/>
      <c r="AM192" s="51"/>
      <c r="AN192" s="51">
        <f>AP192*4</f>
        <v>35555.519999999997</v>
      </c>
      <c r="AO192" s="51"/>
      <c r="AP192" s="51">
        <f t="shared" si="180"/>
        <v>8888.8799999999992</v>
      </c>
      <c r="AQ192" s="51"/>
      <c r="AR192" s="51">
        <f t="shared" si="181"/>
        <v>0</v>
      </c>
      <c r="AS192" s="51">
        <f t="shared" si="173"/>
        <v>17777.759999999998</v>
      </c>
      <c r="AT192" s="51"/>
      <c r="AU192" s="65"/>
      <c r="AV192" s="54"/>
      <c r="AW192" s="55"/>
      <c r="AX192" s="56">
        <f t="shared" si="174"/>
        <v>35555.519999999997</v>
      </c>
      <c r="AY192" s="56"/>
      <c r="AZ192" s="54"/>
      <c r="BA192" s="54"/>
      <c r="BB192" s="54"/>
      <c r="BC192" s="60"/>
      <c r="BD192" s="54">
        <f t="shared" si="182"/>
        <v>0</v>
      </c>
      <c r="BE192" s="54"/>
      <c r="BF192" s="54"/>
      <c r="BG192" s="54"/>
      <c r="BH192" s="54"/>
      <c r="BI192" s="54"/>
      <c r="BJ192" s="54"/>
      <c r="BK192" s="54"/>
      <c r="BL192" s="54"/>
      <c r="BM192" s="58">
        <f t="shared" si="165"/>
        <v>0</v>
      </c>
      <c r="BN192" s="58"/>
      <c r="BO192" s="54"/>
      <c r="BP192" s="54"/>
      <c r="BQ192" s="66">
        <f t="shared" si="129"/>
        <v>0</v>
      </c>
      <c r="BR192" s="66"/>
      <c r="BS192" s="66">
        <f t="shared" si="118"/>
        <v>0</v>
      </c>
      <c r="BT192" s="58"/>
      <c r="BU192" s="54">
        <f>BM192-BI192</f>
        <v>0</v>
      </c>
      <c r="BV192" s="58"/>
      <c r="BW192" s="58">
        <f t="shared" si="141"/>
        <v>0</v>
      </c>
      <c r="BX192" s="58"/>
      <c r="BY192" s="91"/>
      <c r="BZ192" s="66">
        <f t="shared" si="183"/>
        <v>0</v>
      </c>
      <c r="CA192" s="66"/>
      <c r="CB192" s="54">
        <f t="shared" si="184"/>
        <v>0</v>
      </c>
      <c r="CC192" s="54"/>
      <c r="CD192" s="54">
        <f>BT192-BP192</f>
        <v>0</v>
      </c>
      <c r="CE192" s="54"/>
      <c r="CF192" s="54">
        <f>BU192-BQ192</f>
        <v>0</v>
      </c>
      <c r="CG192" s="132"/>
      <c r="CH192" s="200">
        <f>CB192-BU192</f>
        <v>0</v>
      </c>
      <c r="CI192" s="200"/>
      <c r="CJ192" s="312"/>
    </row>
    <row r="193" spans="1:88" s="7" customFormat="1" ht="18.75" hidden="1" customHeight="1" x14ac:dyDescent="0.2">
      <c r="A193" s="6"/>
      <c r="B193" s="27"/>
      <c r="C193" s="28" t="s">
        <v>144</v>
      </c>
      <c r="D193" s="28"/>
      <c r="E193" s="29"/>
      <c r="F193" s="28"/>
      <c r="G193" s="30">
        <v>0</v>
      </c>
      <c r="H193" s="31"/>
      <c r="I193" s="30">
        <v>0</v>
      </c>
      <c r="J193" s="31"/>
      <c r="K193" s="30">
        <f t="shared" si="175"/>
        <v>0</v>
      </c>
      <c r="L193" s="31"/>
      <c r="M193" s="32">
        <f t="shared" si="176"/>
        <v>0</v>
      </c>
      <c r="N193" s="31"/>
      <c r="O193" s="30">
        <v>4280</v>
      </c>
      <c r="P193" s="31"/>
      <c r="Q193" s="30">
        <v>0</v>
      </c>
      <c r="R193" s="31"/>
      <c r="S193" s="30">
        <f t="shared" si="177"/>
        <v>4280</v>
      </c>
      <c r="T193" s="31"/>
      <c r="U193" s="32">
        <f t="shared" si="178"/>
        <v>1</v>
      </c>
      <c r="V193" s="31"/>
      <c r="W193" s="33">
        <v>0</v>
      </c>
      <c r="X193" s="33"/>
      <c r="Y193" s="33">
        <v>0</v>
      </c>
      <c r="Z193" s="33"/>
      <c r="AA193" s="33">
        <f t="shared" si="179"/>
        <v>0</v>
      </c>
      <c r="AB193" s="33"/>
      <c r="AC193" s="33"/>
      <c r="AD193" s="34"/>
      <c r="AE193" s="34"/>
      <c r="AF193" s="49"/>
      <c r="AG193" s="50"/>
      <c r="AH193" s="51">
        <v>193893.84999999998</v>
      </c>
      <c r="AI193" s="51"/>
      <c r="AJ193" s="51">
        <v>193893.84999999998</v>
      </c>
      <c r="AK193" s="51"/>
      <c r="AL193" s="51"/>
      <c r="AM193" s="51"/>
      <c r="AN193" s="51">
        <f>AP193*4</f>
        <v>17120</v>
      </c>
      <c r="AO193" s="51"/>
      <c r="AP193" s="51">
        <f t="shared" si="180"/>
        <v>4280</v>
      </c>
      <c r="AQ193" s="51"/>
      <c r="AR193" s="51">
        <f t="shared" si="181"/>
        <v>0</v>
      </c>
      <c r="AS193" s="51">
        <f t="shared" si="173"/>
        <v>8560</v>
      </c>
      <c r="AT193" s="51"/>
      <c r="AU193" s="65"/>
      <c r="AV193" s="54"/>
      <c r="AW193" s="55"/>
      <c r="AX193" s="56">
        <f t="shared" si="174"/>
        <v>17120</v>
      </c>
      <c r="AY193" s="56"/>
      <c r="AZ193" s="54"/>
      <c r="BA193" s="54"/>
      <c r="BB193" s="54"/>
      <c r="BC193" s="60"/>
      <c r="BD193" s="54">
        <f t="shared" si="182"/>
        <v>0</v>
      </c>
      <c r="BE193" s="54"/>
      <c r="BF193" s="54"/>
      <c r="BG193" s="54"/>
      <c r="BH193" s="54"/>
      <c r="BI193" s="54"/>
      <c r="BJ193" s="54"/>
      <c r="BK193" s="54"/>
      <c r="BL193" s="54"/>
      <c r="BM193" s="58">
        <f t="shared" si="165"/>
        <v>0</v>
      </c>
      <c r="BN193" s="58"/>
      <c r="BO193" s="54"/>
      <c r="BP193" s="54"/>
      <c r="BQ193" s="66">
        <f t="shared" si="129"/>
        <v>0</v>
      </c>
      <c r="BR193" s="66"/>
      <c r="BS193" s="66">
        <f t="shared" ref="BS193:BS197" si="185">BQ193-BK193</f>
        <v>0</v>
      </c>
      <c r="BT193" s="58"/>
      <c r="BU193" s="54">
        <f>BM193-BI193</f>
        <v>0</v>
      </c>
      <c r="BV193" s="58"/>
      <c r="BW193" s="58">
        <f t="shared" si="141"/>
        <v>0</v>
      </c>
      <c r="BX193" s="58"/>
      <c r="BY193" s="91"/>
      <c r="BZ193" s="66">
        <f t="shared" si="183"/>
        <v>0</v>
      </c>
      <c r="CA193" s="66"/>
      <c r="CB193" s="54">
        <f t="shared" si="184"/>
        <v>0</v>
      </c>
      <c r="CC193" s="54"/>
      <c r="CD193" s="54">
        <f>BT193-BP193</f>
        <v>0</v>
      </c>
      <c r="CE193" s="54"/>
      <c r="CF193" s="54">
        <f>BU193-BQ193</f>
        <v>0</v>
      </c>
      <c r="CG193" s="132"/>
      <c r="CH193" s="200">
        <f>CB193-BU193</f>
        <v>0</v>
      </c>
      <c r="CI193" s="200"/>
      <c r="CJ193" s="312"/>
    </row>
    <row r="194" spans="1:88" s="7" customFormat="1" ht="18.75" hidden="1" customHeight="1" x14ac:dyDescent="0.2">
      <c r="A194" s="6"/>
      <c r="B194" s="27"/>
      <c r="C194" s="28" t="s">
        <v>145</v>
      </c>
      <c r="D194" s="28"/>
      <c r="E194" s="29"/>
      <c r="F194" s="28"/>
      <c r="G194" s="30">
        <v>0</v>
      </c>
      <c r="H194" s="31"/>
      <c r="I194" s="30">
        <v>0</v>
      </c>
      <c r="J194" s="31"/>
      <c r="K194" s="30">
        <f t="shared" si="175"/>
        <v>0</v>
      </c>
      <c r="L194" s="31"/>
      <c r="M194" s="32">
        <f t="shared" si="176"/>
        <v>0</v>
      </c>
      <c r="N194" s="31"/>
      <c r="O194" s="30">
        <v>415.56</v>
      </c>
      <c r="P194" s="31"/>
      <c r="Q194" s="30">
        <v>0</v>
      </c>
      <c r="R194" s="31"/>
      <c r="S194" s="30">
        <f t="shared" si="177"/>
        <v>415.56</v>
      </c>
      <c r="T194" s="31"/>
      <c r="U194" s="32">
        <f t="shared" si="178"/>
        <v>1</v>
      </c>
      <c r="V194" s="31"/>
      <c r="W194" s="33">
        <v>255</v>
      </c>
      <c r="X194" s="33"/>
      <c r="Y194" s="33">
        <v>0</v>
      </c>
      <c r="Z194" s="33"/>
      <c r="AA194" s="33">
        <f t="shared" si="179"/>
        <v>255</v>
      </c>
      <c r="AB194" s="33"/>
      <c r="AC194" s="33"/>
      <c r="AD194" s="34"/>
      <c r="AE194" s="34"/>
      <c r="AF194" s="49"/>
      <c r="AG194" s="50"/>
      <c r="AH194" s="51"/>
      <c r="AI194" s="51"/>
      <c r="AJ194" s="51"/>
      <c r="AK194" s="51"/>
      <c r="AL194" s="51"/>
      <c r="AM194" s="51"/>
      <c r="AN194" s="51">
        <f>AP194*4</f>
        <v>2682.24</v>
      </c>
      <c r="AO194" s="51"/>
      <c r="AP194" s="51">
        <f t="shared" si="180"/>
        <v>670.56</v>
      </c>
      <c r="AQ194" s="51"/>
      <c r="AR194" s="51">
        <f t="shared" si="181"/>
        <v>0</v>
      </c>
      <c r="AS194" s="51">
        <f t="shared" si="173"/>
        <v>1341.12</v>
      </c>
      <c r="AT194" s="51"/>
      <c r="AU194" s="65"/>
      <c r="AV194" s="54"/>
      <c r="AW194" s="55"/>
      <c r="AX194" s="56">
        <f t="shared" si="174"/>
        <v>2682.24</v>
      </c>
      <c r="AY194" s="56"/>
      <c r="AZ194" s="54"/>
      <c r="BA194" s="54"/>
      <c r="BB194" s="54"/>
      <c r="BC194" s="60"/>
      <c r="BD194" s="54">
        <f t="shared" si="182"/>
        <v>0</v>
      </c>
      <c r="BE194" s="54"/>
      <c r="BF194" s="54"/>
      <c r="BG194" s="54"/>
      <c r="BH194" s="54"/>
      <c r="BI194" s="54"/>
      <c r="BJ194" s="54"/>
      <c r="BK194" s="54"/>
      <c r="BL194" s="54"/>
      <c r="BM194" s="58">
        <f t="shared" si="165"/>
        <v>0</v>
      </c>
      <c r="BN194" s="58"/>
      <c r="BO194" s="54"/>
      <c r="BP194" s="54"/>
      <c r="BQ194" s="66">
        <f t="shared" si="129"/>
        <v>0</v>
      </c>
      <c r="BR194" s="66"/>
      <c r="BS194" s="66">
        <f t="shared" si="185"/>
        <v>0</v>
      </c>
      <c r="BT194" s="58"/>
      <c r="BU194" s="54">
        <f>BM194-BI194</f>
        <v>0</v>
      </c>
      <c r="BV194" s="58"/>
      <c r="BW194" s="58">
        <f t="shared" si="141"/>
        <v>0</v>
      </c>
      <c r="BX194" s="58"/>
      <c r="BY194" s="91"/>
      <c r="BZ194" s="66">
        <f t="shared" si="183"/>
        <v>0</v>
      </c>
      <c r="CA194" s="66"/>
      <c r="CB194" s="54">
        <f t="shared" si="184"/>
        <v>0</v>
      </c>
      <c r="CC194" s="54"/>
      <c r="CD194" s="54">
        <f>BT194-BP194</f>
        <v>0</v>
      </c>
      <c r="CE194" s="54"/>
      <c r="CF194" s="54">
        <f>BU194-BQ194</f>
        <v>0</v>
      </c>
      <c r="CG194" s="132"/>
      <c r="CH194" s="200">
        <f>CB194-BU194</f>
        <v>0</v>
      </c>
      <c r="CI194" s="200"/>
      <c r="CJ194" s="312"/>
    </row>
    <row r="195" spans="1:88" s="7" customFormat="1" ht="18.75" hidden="1" customHeight="1" thickBot="1" x14ac:dyDescent="0.25">
      <c r="A195" s="6"/>
      <c r="B195" s="27"/>
      <c r="C195" s="28" t="s">
        <v>146</v>
      </c>
      <c r="D195" s="28"/>
      <c r="E195" s="29"/>
      <c r="F195" s="28"/>
      <c r="G195" s="68">
        <v>37.880000000000003</v>
      </c>
      <c r="H195" s="31"/>
      <c r="I195" s="68">
        <v>17539.689999999999</v>
      </c>
      <c r="J195" s="31"/>
      <c r="K195" s="68">
        <f t="shared" si="175"/>
        <v>-17501.810000000001</v>
      </c>
      <c r="L195" s="31"/>
      <c r="M195" s="69">
        <f t="shared" si="176"/>
        <v>2.16E-3</v>
      </c>
      <c r="N195" s="31"/>
      <c r="O195" s="68">
        <v>9948</v>
      </c>
      <c r="P195" s="31"/>
      <c r="Q195" s="68">
        <v>17539.66</v>
      </c>
      <c r="R195" s="31"/>
      <c r="S195" s="68">
        <f t="shared" si="177"/>
        <v>-7591.66</v>
      </c>
      <c r="T195" s="31"/>
      <c r="U195" s="69">
        <f t="shared" si="178"/>
        <v>0.56716999999999995</v>
      </c>
      <c r="V195" s="31"/>
      <c r="W195" s="70">
        <v>26997.68</v>
      </c>
      <c r="X195" s="33"/>
      <c r="Y195" s="70">
        <v>17539.66</v>
      </c>
      <c r="Z195" s="33"/>
      <c r="AA195" s="70">
        <f t="shared" si="179"/>
        <v>9458.02</v>
      </c>
      <c r="AB195" s="33"/>
      <c r="AC195" s="33"/>
      <c r="AD195" s="34"/>
      <c r="AE195" s="34"/>
      <c r="AF195" s="49"/>
      <c r="AG195" s="50"/>
      <c r="AH195" s="51"/>
      <c r="AI195" s="51"/>
      <c r="AJ195" s="51"/>
      <c r="AK195" s="51"/>
      <c r="AL195" s="51"/>
      <c r="AM195" s="51"/>
      <c r="AN195" s="51">
        <f>AP195*4</f>
        <v>147934.24</v>
      </c>
      <c r="AO195" s="51"/>
      <c r="AP195" s="51">
        <f t="shared" si="180"/>
        <v>36983.56</v>
      </c>
      <c r="AQ195" s="51"/>
      <c r="AR195" s="51">
        <f t="shared" si="181"/>
        <v>52619.01</v>
      </c>
      <c r="AS195" s="51">
        <f t="shared" si="173"/>
        <v>73967.12</v>
      </c>
      <c r="AT195" s="51"/>
      <c r="AU195" s="65"/>
      <c r="AV195" s="54"/>
      <c r="AW195" s="55"/>
      <c r="AX195" s="56">
        <f t="shared" si="174"/>
        <v>147934.24</v>
      </c>
      <c r="AY195" s="56"/>
      <c r="AZ195" s="54"/>
      <c r="BA195" s="54"/>
      <c r="BB195" s="54"/>
      <c r="BC195" s="60"/>
      <c r="BD195" s="54">
        <f t="shared" si="182"/>
        <v>0</v>
      </c>
      <c r="BE195" s="54"/>
      <c r="BF195" s="54"/>
      <c r="BG195" s="54"/>
      <c r="BH195" s="54"/>
      <c r="BI195" s="54"/>
      <c r="BJ195" s="54"/>
      <c r="BK195" s="54"/>
      <c r="BL195" s="54"/>
      <c r="BM195" s="58">
        <f t="shared" si="165"/>
        <v>0</v>
      </c>
      <c r="BN195" s="58"/>
      <c r="BO195" s="54"/>
      <c r="BP195" s="54"/>
      <c r="BQ195" s="66">
        <f t="shared" si="129"/>
        <v>0</v>
      </c>
      <c r="BR195" s="66"/>
      <c r="BS195" s="66">
        <f t="shared" si="185"/>
        <v>0</v>
      </c>
      <c r="BT195" s="58"/>
      <c r="BU195" s="54">
        <f>BM195-BI195</f>
        <v>0</v>
      </c>
      <c r="BV195" s="58"/>
      <c r="BW195" s="58">
        <f t="shared" si="141"/>
        <v>0</v>
      </c>
      <c r="BX195" s="58"/>
      <c r="BY195" s="91"/>
      <c r="BZ195" s="66">
        <f t="shared" si="183"/>
        <v>0</v>
      </c>
      <c r="CA195" s="66"/>
      <c r="CB195" s="54">
        <f t="shared" si="184"/>
        <v>0</v>
      </c>
      <c r="CC195" s="54"/>
      <c r="CD195" s="54">
        <f>BT195-BP195</f>
        <v>0</v>
      </c>
      <c r="CE195" s="54"/>
      <c r="CF195" s="54">
        <f>BU195-BQ195</f>
        <v>0</v>
      </c>
      <c r="CG195" s="132"/>
      <c r="CH195" s="200">
        <f>CB195-BU195</f>
        <v>0</v>
      </c>
      <c r="CI195" s="200"/>
      <c r="CJ195" s="312"/>
    </row>
    <row r="196" spans="1:88" s="7" customFormat="1" ht="14.25" customHeight="1" thickBot="1" x14ac:dyDescent="0.25">
      <c r="A196" s="6"/>
      <c r="B196" s="347" t="s">
        <v>162</v>
      </c>
      <c r="C196" s="348"/>
      <c r="D196" s="348"/>
      <c r="E196" s="348"/>
      <c r="F196" s="348"/>
      <c r="G196" s="30">
        <f>ROUND(SUM(G191:G195),5)</f>
        <v>97.88</v>
      </c>
      <c r="H196" s="31"/>
      <c r="I196" s="30">
        <f>ROUND(SUM(I191:I195),5)</f>
        <v>17539.689999999999</v>
      </c>
      <c r="J196" s="31"/>
      <c r="K196" s="30">
        <f t="shared" si="175"/>
        <v>-17441.810000000001</v>
      </c>
      <c r="L196" s="31"/>
      <c r="M196" s="32">
        <f t="shared" si="176"/>
        <v>5.5799999999999999E-3</v>
      </c>
      <c r="N196" s="31"/>
      <c r="O196" s="30">
        <f>ROUND(SUM(O191:O195),5)</f>
        <v>23532.44</v>
      </c>
      <c r="P196" s="31"/>
      <c r="Q196" s="30">
        <f>ROUND(SUM(Q191:Q195),5)</f>
        <v>17539.66</v>
      </c>
      <c r="R196" s="31"/>
      <c r="S196" s="30">
        <f t="shared" si="177"/>
        <v>5992.78</v>
      </c>
      <c r="T196" s="31"/>
      <c r="U196" s="32">
        <f t="shared" si="178"/>
        <v>1.3416699999999999</v>
      </c>
      <c r="V196" s="31"/>
      <c r="W196" s="70">
        <f>ROUND(SUM(W191:W195),5)-17747.68-9505</f>
        <v>0</v>
      </c>
      <c r="X196" s="70"/>
      <c r="Y196" s="70">
        <f>ROUND(SUM(Y191:Y195),5)</f>
        <v>17539.66</v>
      </c>
      <c r="Z196" s="70"/>
      <c r="AA196" s="70">
        <f t="shared" si="179"/>
        <v>-17539.66</v>
      </c>
      <c r="AB196" s="70"/>
      <c r="AC196" s="70"/>
      <c r="AD196" s="48">
        <v>236163.23</v>
      </c>
      <c r="AE196" s="48"/>
      <c r="AF196" s="71">
        <v>230433.24</v>
      </c>
      <c r="AG196" s="72"/>
      <c r="AH196" s="73">
        <v>204354.99</v>
      </c>
      <c r="AI196" s="73"/>
      <c r="AJ196" s="73">
        <v>193893.85</v>
      </c>
      <c r="AK196" s="73"/>
      <c r="AL196" s="73">
        <v>210475.95</v>
      </c>
      <c r="AM196" s="73"/>
      <c r="AN196" s="73">
        <v>115729.67</v>
      </c>
      <c r="AO196" s="73"/>
      <c r="AP196" s="73">
        <v>15055</v>
      </c>
      <c r="AQ196" s="73"/>
      <c r="AR196" s="73">
        <f t="shared" si="181"/>
        <v>52619.01</v>
      </c>
      <c r="AS196" s="73">
        <f t="shared" si="173"/>
        <v>30110</v>
      </c>
      <c r="AT196" s="73"/>
      <c r="AU196" s="116"/>
      <c r="AV196" s="222">
        <v>261000</v>
      </c>
      <c r="AW196" s="262"/>
      <c r="AX196" s="263">
        <f t="shared" si="174"/>
        <v>-94746.280000000013</v>
      </c>
      <c r="AY196" s="263"/>
      <c r="AZ196" s="222">
        <v>179405.49</v>
      </c>
      <c r="BA196" s="222"/>
      <c r="BB196" s="222"/>
      <c r="BC196" s="123"/>
      <c r="BD196" s="222">
        <v>290668.44</v>
      </c>
      <c r="BE196" s="222"/>
      <c r="BF196" s="93"/>
      <c r="BG196" s="93">
        <v>191000</v>
      </c>
      <c r="BH196" s="93"/>
      <c r="BI196" s="93">
        <v>131855.12</v>
      </c>
      <c r="BJ196" s="93"/>
      <c r="BK196" s="93">
        <v>470526.43</v>
      </c>
      <c r="BL196" s="93"/>
      <c r="BM196" s="101">
        <f t="shared" si="165"/>
        <v>279526.43</v>
      </c>
      <c r="BN196" s="101"/>
      <c r="BO196" s="93">
        <v>48355.56</v>
      </c>
      <c r="BP196" s="93"/>
      <c r="BQ196" s="102">
        <f>190538.31+65300</f>
        <v>255838.31</v>
      </c>
      <c r="BR196" s="102"/>
      <c r="BS196" s="102">
        <f t="shared" si="185"/>
        <v>-214688.12</v>
      </c>
      <c r="BT196" s="101"/>
      <c r="BU196" s="93">
        <f>230313.44+5040.16+60000-2500+13000</f>
        <v>305853.59999999998</v>
      </c>
      <c r="BV196" s="101"/>
      <c r="BW196" s="101">
        <f t="shared" si="141"/>
        <v>-164672.83000000002</v>
      </c>
      <c r="BX196" s="101"/>
      <c r="BY196" s="264" t="s">
        <v>218</v>
      </c>
      <c r="BZ196" s="102">
        <v>219384.37</v>
      </c>
      <c r="CA196" s="102"/>
      <c r="CB196" s="93">
        <f>230313.44+5040.16+60000-2500+13000-1407.81+2500-6200+67700-19128.73</f>
        <v>349317.06</v>
      </c>
      <c r="CC196" s="93"/>
      <c r="CD196" s="93">
        <v>76802.759999999995</v>
      </c>
      <c r="CE196" s="93"/>
      <c r="CF196" s="93">
        <f>89114.37+5000+1000+44547.72-58639.24+20000+24298.4-20000</f>
        <v>105321.25</v>
      </c>
      <c r="CG196" s="131"/>
      <c r="CH196" s="285">
        <f>CF196-CB196</f>
        <v>-243995.81</v>
      </c>
      <c r="CI196" s="285"/>
      <c r="CJ196" s="300" t="s">
        <v>240</v>
      </c>
    </row>
    <row r="197" spans="1:88" s="7" customFormat="1" ht="18.75" customHeight="1" thickBot="1" x14ac:dyDescent="0.25">
      <c r="A197" s="8" t="s">
        <v>150</v>
      </c>
      <c r="B197" s="349" t="s">
        <v>217</v>
      </c>
      <c r="C197" s="350"/>
      <c r="D197" s="350"/>
      <c r="E197" s="350"/>
      <c r="F197" s="350"/>
      <c r="G197" s="265"/>
      <c r="H197" s="265"/>
      <c r="I197" s="265"/>
      <c r="J197" s="265"/>
      <c r="K197" s="265"/>
      <c r="L197" s="265"/>
      <c r="M197" s="265"/>
      <c r="N197" s="265"/>
      <c r="O197" s="265"/>
      <c r="P197" s="265"/>
      <c r="Q197" s="265"/>
      <c r="R197" s="265"/>
      <c r="S197" s="265"/>
      <c r="T197" s="265"/>
      <c r="U197" s="265"/>
      <c r="V197" s="265"/>
      <c r="W197" s="70" t="e">
        <f>W196+W190+W183+W176+W130+W122+W92+W13+W8+W3</f>
        <v>#REF!</v>
      </c>
      <c r="X197" s="70"/>
      <c r="Y197" s="70" t="e">
        <f>Y196+Y190+Y183+Y176+Y130+Y122+Y92+Y13+Y8+Y3</f>
        <v>#REF!</v>
      </c>
      <c r="Z197" s="70"/>
      <c r="AA197" s="70"/>
      <c r="AB197" s="70"/>
      <c r="AC197" s="70"/>
      <c r="AD197" s="98">
        <f>AD196+AD190+AD183+AD176+AD130+AD122+AD92+AD13+AD8+AD3</f>
        <v>3289383.4</v>
      </c>
      <c r="AE197" s="98"/>
      <c r="AF197" s="266">
        <f>AF196+AF190+AF183+AF176+AF130+AF122+AF92+AF13+AF8+AF3+AF185+AF31+AF186+AF25</f>
        <v>3355479.4499999997</v>
      </c>
      <c r="AG197" s="104"/>
      <c r="AH197" s="267">
        <f>AH196+AH190+AH183+AH176+AH130+AH122+AH92+AH13+AH8+AH3</f>
        <v>3232055.5199999996</v>
      </c>
      <c r="AI197" s="267"/>
      <c r="AJ197" s="267">
        <f>AJ196+AJ190+AJ183+AJ176+AJ130+AJ122+AJ92+AJ13+AJ8+AJ3+AJ185+AJ31+AJ186+AJ25</f>
        <v>3299472.0300000003</v>
      </c>
      <c r="AK197" s="267"/>
      <c r="AL197" s="267">
        <f>AL196+AL190+AL183+AL176+AL130+AL122+AL92+AL13+AL8+AL3</f>
        <v>3425786.83</v>
      </c>
      <c r="AM197" s="267"/>
      <c r="AN197" s="267">
        <f>AN196+AN190+AN183+AN176+AN130+AN122+AN92+AN13+AN8+AN3+AN185+AN31+AN186+AN25</f>
        <v>3259200.4</v>
      </c>
      <c r="AO197" s="267"/>
      <c r="AP197" s="267">
        <f>AP196+AP190+AP183+AP176+AP130+AP122+AP92+AP13+AP8+AP3+AP185</f>
        <v>1343561.36</v>
      </c>
      <c r="AQ197" s="267"/>
      <c r="AR197" s="267" t="e">
        <f>AR196+AR190+AR183+AR176+AR130+AR122+AR92+AR13+AR8+AR3+AR185</f>
        <v>#REF!</v>
      </c>
      <c r="AS197" s="267">
        <f t="shared" si="173"/>
        <v>2687122.72</v>
      </c>
      <c r="AT197" s="267"/>
      <c r="AU197" s="268"/>
      <c r="AV197" s="269">
        <f>AV196+AV190+AV29+AV183+AV176+AV130+AV122+AV92+AV33+AV13+AV8+AV3</f>
        <v>3630059.6099999994</v>
      </c>
      <c r="AW197" s="270"/>
      <c r="AX197" s="271">
        <f t="shared" si="174"/>
        <v>-166586.43000000017</v>
      </c>
      <c r="AY197" s="271"/>
      <c r="AZ197" s="269">
        <f>AZ196+AZ190+AZ183+AZ176+AZ130+AZ122+AZ92+AZ13+AZ8+AZ3+AZ185+AZ31+AZ186+AZ25</f>
        <v>1622824.227</v>
      </c>
      <c r="BA197" s="269"/>
      <c r="BB197" s="269"/>
      <c r="BC197" s="272"/>
      <c r="BD197" s="269">
        <f>BD196+BD190+BD29+BD183+BD176+BD130+BD122+BD92+BD33+BD13+BD8+BD3</f>
        <v>3600504.7600000002</v>
      </c>
      <c r="BE197" s="269">
        <f>BE196+BE190+BE29+BE183+BE176+BE130+BE122+BE92+BE33+BE13+BE8+BE3</f>
        <v>0</v>
      </c>
      <c r="BF197" s="243">
        <f>BF196+BF190+BF29+BF183+BF176+BF130+BF122+BF92+BF33+BF13+BF8+BF3</f>
        <v>0</v>
      </c>
      <c r="BG197" s="243">
        <f>BG196+BG190+BG183+BG176+BG130+BG122+BG92+BG33+BG13+BG8+BG3</f>
        <v>3610091.67</v>
      </c>
      <c r="BH197" s="243">
        <f>BH196+BH190+BH29+BH183+BH176+BH130+BH122+BH92+BH33+BH13+BH8+BH3</f>
        <v>0</v>
      </c>
      <c r="BI197" s="243">
        <f>BI196+BI190+BI29+BI183+BI176+BI130+BI122+BI92+BI33+BI13+BI8+BI3</f>
        <v>3661610.54</v>
      </c>
      <c r="BJ197" s="243">
        <f>BJ196+BJ190+BJ29+BJ183+BJ176+BJ130+BJ122+BJ92+BJ33+BJ13+BJ8+BJ3</f>
        <v>0</v>
      </c>
      <c r="BK197" s="243">
        <f>BK196+BK190+BK189+BK183+BK176+BK130+BK122+BK92+BK33+BK18+BK14</f>
        <v>3762242.32</v>
      </c>
      <c r="BL197" s="243">
        <f>BL196+BL190+BL29+BL183+BL176+BL130+BL122+BL92+BL33+BL13+BL8+BL3</f>
        <v>0</v>
      </c>
      <c r="BM197" s="243">
        <f>BM196+BM190+BM183+BM176+BM130+BM122+BM92+BM33+BM13+BM8+BM3</f>
        <v>162422.49</v>
      </c>
      <c r="BN197" s="243"/>
      <c r="BO197" s="243">
        <f>BO196+BO190+BO183+BO176+BO130+BO122+BO92+BO33+BO13+BO8+BO3+BO189+BO18</f>
        <v>1690379.2599999998</v>
      </c>
      <c r="BP197" s="243"/>
      <c r="BQ197" s="243">
        <f>BQ196+BQ190+BQ189+BQ183+BQ176+BQ130+BQ122+BQ92+BQ33+BQ18+BQ14</f>
        <v>3618046.22</v>
      </c>
      <c r="BR197" s="273"/>
      <c r="BS197" s="273">
        <f t="shared" si="185"/>
        <v>-144196.09999999963</v>
      </c>
      <c r="BT197" s="243"/>
      <c r="BU197" s="243">
        <f>BU196+BU190+BU189+BU183+BU176+BU130+BU122+BU92+BU33+BU18+BU14</f>
        <v>3708477.5844999999</v>
      </c>
      <c r="BV197" s="243"/>
      <c r="BW197" s="243">
        <f>BW196+BW190+BW189+BW183+BW176+BW130+BW122+BW92+BW33+BW18+BW14</f>
        <v>-53764.735500000155</v>
      </c>
      <c r="BX197" s="243"/>
      <c r="BY197" s="274"/>
      <c r="BZ197" s="243">
        <f>BZ196+BZ190+BZ189+BZ183+BZ176+BZ130+BZ122+BZ92+BZ33+BZ18+BZ14</f>
        <v>3477324.85</v>
      </c>
      <c r="CA197" s="243"/>
      <c r="CB197" s="243">
        <f>CB196+CB190+CB189+CB183+CB176+CB130+CB122+CB92+CB33+CB18+CB14</f>
        <v>3877647.1500000004</v>
      </c>
      <c r="CC197" s="243"/>
      <c r="CD197" s="243">
        <f>CD196+CD190+CD189+CD183+CD176+CD130+CD122+CD92+CD33+CD18+CD14</f>
        <v>2883158.5599999996</v>
      </c>
      <c r="CE197" s="243"/>
      <c r="CF197" s="243">
        <f>CF196+CF190+CF189+CF183+CF176+CF130+CF122+CF92+CF33+CF18+CF14</f>
        <v>3499603.82</v>
      </c>
      <c r="CG197" s="275"/>
      <c r="CH197" s="286">
        <f>CF197-CB197</f>
        <v>-378043.33000000054</v>
      </c>
      <c r="CI197" s="286"/>
      <c r="CJ197" s="323"/>
    </row>
    <row r="198" spans="1:88" ht="21.75" customHeight="1" x14ac:dyDescent="0.2"/>
  </sheetData>
  <mergeCells count="41">
    <mergeCell ref="E108:F108"/>
    <mergeCell ref="E109:F109"/>
    <mergeCell ref="E117:F117"/>
    <mergeCell ref="E118:F118"/>
    <mergeCell ref="E110:F110"/>
    <mergeCell ref="E111:F111"/>
    <mergeCell ref="E112:F112"/>
    <mergeCell ref="E115:F115"/>
    <mergeCell ref="E116:F116"/>
    <mergeCell ref="C187:F187"/>
    <mergeCell ref="B197:F197"/>
    <mergeCell ref="B8:F8"/>
    <mergeCell ref="B34:F34"/>
    <mergeCell ref="C35:F35"/>
    <mergeCell ref="C36:F36"/>
    <mergeCell ref="D84:F84"/>
    <mergeCell ref="D85:F85"/>
    <mergeCell ref="C86:F86"/>
    <mergeCell ref="B92:F92"/>
    <mergeCell ref="B93:F93"/>
    <mergeCell ref="B196:F196"/>
    <mergeCell ref="C186:F186"/>
    <mergeCell ref="C185:F185"/>
    <mergeCell ref="D24:F24"/>
    <mergeCell ref="E103:F103"/>
    <mergeCell ref="BY178:BY181"/>
    <mergeCell ref="C23:F23"/>
    <mergeCell ref="C128:F128"/>
    <mergeCell ref="B1:F1"/>
    <mergeCell ref="B2:F2"/>
    <mergeCell ref="B3:F3"/>
    <mergeCell ref="B13:F13"/>
    <mergeCell ref="BY115:BY118"/>
    <mergeCell ref="C178:F178"/>
    <mergeCell ref="E95:F95"/>
    <mergeCell ref="E96:F96"/>
    <mergeCell ref="E97:F97"/>
    <mergeCell ref="E98:F98"/>
    <mergeCell ref="E101:F101"/>
    <mergeCell ref="E102:F102"/>
    <mergeCell ref="E104:F104"/>
  </mergeCells>
  <conditionalFormatting sqref="BM1:BN1 BP1:BX1">
    <cfRule type="colorScale" priority="4">
      <colorScale>
        <cfvo type="min"/>
        <cfvo type="percentile" val="50"/>
        <cfvo type="max"/>
        <color rgb="FFF8696B"/>
        <color rgb="FFFFEB84"/>
        <color rgb="FF63BE7B"/>
      </colorScale>
    </cfRule>
  </conditionalFormatting>
  <conditionalFormatting sqref="BI1:BJ1">
    <cfRule type="colorScale" priority="6">
      <colorScale>
        <cfvo type="min"/>
        <cfvo type="percentile" val="50"/>
        <cfvo type="max"/>
        <color rgb="FFF8696B"/>
        <color rgb="FFFFEB84"/>
        <color rgb="FF63BE7B"/>
      </colorScale>
    </cfRule>
  </conditionalFormatting>
  <conditionalFormatting sqref="BZ1:CA1">
    <cfRule type="colorScale" priority="10">
      <colorScale>
        <cfvo type="min"/>
        <cfvo type="percentile" val="50"/>
        <cfvo type="max"/>
        <color rgb="FFF8696B"/>
        <color rgb="FFFFEB84"/>
        <color rgb="FF63BE7B"/>
      </colorScale>
    </cfRule>
  </conditionalFormatting>
  <conditionalFormatting sqref="CB1:CI1">
    <cfRule type="colorScale" priority="14">
      <colorScale>
        <cfvo type="min"/>
        <cfvo type="percentile" val="50"/>
        <cfvo type="max"/>
        <color rgb="FFF8696B"/>
        <color rgb="FFFFEB84"/>
        <color rgb="FF63BE7B"/>
      </colorScale>
    </cfRule>
  </conditionalFormatting>
  <printOptions gridLines="1"/>
  <pageMargins left="1.61" right="1.89" top="1.38" bottom="0.17" header="0.17" footer="0.17"/>
  <pageSetup orientation="portrait" r:id="rId1"/>
  <headerFooter>
    <oddHeader xml:space="preserve">&amp;C&amp;"Times New Roman,Bold"&amp;12 &amp;18Boone County Fire Protection District
2016&amp;12
&amp;14Proposed Budget 
August 19, 2015 Public Hearing
</oddHeader>
    <oddFooter>&amp;R&amp;"Arial,Bold"&amp;8 Page &amp;P of &amp;N
 9:46 AM
 04/13/10
 Accrual Basis</oddFooter>
  </headerFooter>
  <rowBreaks count="2" manualBreakCount="2">
    <brk id="92" max="16383" man="1"/>
    <brk id="130" min="1" max="86" man="1"/>
  </rowBreaks>
  <customProperties>
    <customPr name="DVSECTION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heetViews>
  <sheetFormatPr defaultRowHeight="15" x14ac:dyDescent="0.25"/>
  <sheetData/>
  <pageMargins left="0.7" right="0.7" top="0.75" bottom="0.75" header="0.3" footer="0.3"/>
  <customProperties>
    <customPr name="DVSECTIONID" r:id="rId1"/>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
  <sheetViews>
    <sheetView workbookViewId="0"/>
  </sheetViews>
  <sheetFormatPr defaultRowHeight="15" x14ac:dyDescent="0.25"/>
  <sheetData/>
  <pageMargins left="0.7" right="0.7" top="0.75" bottom="0.75" header="0.3" footer="0.3"/>
  <customProperties>
    <customPr name="DVSECTIONID" r:id="rId1"/>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IV102"/>
  <sheetViews>
    <sheetView workbookViewId="0">
      <selection activeCell="EY91" sqref="EY91"/>
    </sheetView>
  </sheetViews>
  <sheetFormatPr defaultRowHeight="15" x14ac:dyDescent="0.25"/>
  <sheetData>
    <row r="1" spans="1:256" x14ac:dyDescent="0.25">
      <c r="A1">
        <f>IF('2015'!1:1,"AAAAAHfn8wA=",0)</f>
        <v>0</v>
      </c>
      <c r="B1" t="e">
        <f>AND('2015'!A1,"AAAAAHfn8wE=")</f>
        <v>#VALUE!</v>
      </c>
      <c r="C1" t="e">
        <f>AND('2015'!B1,"AAAAAHfn8wI=")</f>
        <v>#VALUE!</v>
      </c>
      <c r="D1" t="e">
        <f>AND('2015'!C1,"AAAAAHfn8wM=")</f>
        <v>#VALUE!</v>
      </c>
      <c r="E1" t="e">
        <f>AND('2015'!D1,"AAAAAHfn8wQ=")</f>
        <v>#VALUE!</v>
      </c>
      <c r="F1" t="e">
        <f>AND('2015'!E1,"AAAAAHfn8wU=")</f>
        <v>#VALUE!</v>
      </c>
      <c r="G1" t="e">
        <f>AND('2015'!F1,"AAAAAHfn8wY=")</f>
        <v>#VALUE!</v>
      </c>
      <c r="H1" t="e">
        <f>AND('2015'!G1,"AAAAAHfn8wc=")</f>
        <v>#VALUE!</v>
      </c>
      <c r="I1" t="e">
        <f>AND('2015'!H1,"AAAAAHfn8wg=")</f>
        <v>#VALUE!</v>
      </c>
      <c r="J1" t="e">
        <f>AND('2015'!I1,"AAAAAHfn8wk=")</f>
        <v>#VALUE!</v>
      </c>
      <c r="K1" t="e">
        <f>AND('2015'!J1,"AAAAAHfn8wo=")</f>
        <v>#VALUE!</v>
      </c>
      <c r="L1" t="e">
        <f>AND('2015'!K1,"AAAAAHfn8ws=")</f>
        <v>#VALUE!</v>
      </c>
      <c r="M1" t="e">
        <f>AND('2015'!L1,"AAAAAHfn8ww=")</f>
        <v>#VALUE!</v>
      </c>
      <c r="N1" t="e">
        <f>AND('2015'!M1,"AAAAAHfn8w0=")</f>
        <v>#VALUE!</v>
      </c>
      <c r="O1" t="e">
        <f>AND('2015'!N1,"AAAAAHfn8w4=")</f>
        <v>#VALUE!</v>
      </c>
      <c r="P1" t="e">
        <f>AND('2015'!O1,"AAAAAHfn8w8=")</f>
        <v>#VALUE!</v>
      </c>
      <c r="Q1" t="e">
        <f>AND('2015'!P1,"AAAAAHfn8xA=")</f>
        <v>#VALUE!</v>
      </c>
      <c r="R1" t="e">
        <f>AND('2015'!Q1,"AAAAAHfn8xE=")</f>
        <v>#VALUE!</v>
      </c>
      <c r="S1" t="e">
        <f>AND('2015'!R1,"AAAAAHfn8xI=")</f>
        <v>#VALUE!</v>
      </c>
      <c r="T1" t="e">
        <f>AND('2015'!S1,"AAAAAHfn8xM=")</f>
        <v>#VALUE!</v>
      </c>
      <c r="U1" t="e">
        <f>AND('2015'!T1,"AAAAAHfn8xQ=")</f>
        <v>#VALUE!</v>
      </c>
      <c r="V1" t="e">
        <f>AND('2015'!U1,"AAAAAHfn8xU=")</f>
        <v>#VALUE!</v>
      </c>
      <c r="W1" t="e">
        <f>AND('2015'!V1,"AAAAAHfn8xY=")</f>
        <v>#VALUE!</v>
      </c>
      <c r="X1" t="e">
        <f>AND('2015'!W1,"AAAAAHfn8xc=")</f>
        <v>#VALUE!</v>
      </c>
      <c r="Y1" t="e">
        <f>AND('2015'!X1,"AAAAAHfn8xg=")</f>
        <v>#VALUE!</v>
      </c>
      <c r="Z1" t="e">
        <f>AND('2015'!Y1,"AAAAAHfn8xk=")</f>
        <v>#VALUE!</v>
      </c>
      <c r="AA1" t="e">
        <f>AND('2015'!Z1,"AAAAAHfn8xo=")</f>
        <v>#VALUE!</v>
      </c>
      <c r="AB1" t="e">
        <f>AND('2015'!AA1,"AAAAAHfn8xs=")</f>
        <v>#VALUE!</v>
      </c>
      <c r="AC1" t="e">
        <f>AND('2015'!AB1,"AAAAAHfn8xw=")</f>
        <v>#VALUE!</v>
      </c>
      <c r="AD1" t="e">
        <f>AND('2015'!AC1,"AAAAAHfn8x0=")</f>
        <v>#VALUE!</v>
      </c>
      <c r="AE1" t="e">
        <f>AND('2015'!AD1,"AAAAAHfn8x4=")</f>
        <v>#VALUE!</v>
      </c>
      <c r="AF1" t="e">
        <f>AND('2015'!AE1,"AAAAAHfn8x8=")</f>
        <v>#VALUE!</v>
      </c>
      <c r="AG1" t="e">
        <f>AND('2015'!AF1,"AAAAAHfn8yA=")</f>
        <v>#VALUE!</v>
      </c>
      <c r="AH1" t="e">
        <f>AND('2015'!AG1,"AAAAAHfn8yE=")</f>
        <v>#VALUE!</v>
      </c>
      <c r="AI1" t="e">
        <f>AND('2015'!AH1,"AAAAAHfn8yI=")</f>
        <v>#VALUE!</v>
      </c>
      <c r="AJ1" t="e">
        <f>AND('2015'!AI1,"AAAAAHfn8yM=")</f>
        <v>#VALUE!</v>
      </c>
      <c r="AK1" t="e">
        <f>AND('2015'!AJ1,"AAAAAHfn8yQ=")</f>
        <v>#VALUE!</v>
      </c>
      <c r="AL1" t="e">
        <f>AND('2015'!AK1,"AAAAAHfn8yU=")</f>
        <v>#VALUE!</v>
      </c>
      <c r="AM1" t="e">
        <f>AND('2015'!AL1,"AAAAAHfn8yY=")</f>
        <v>#VALUE!</v>
      </c>
      <c r="AN1" t="e">
        <f>AND('2015'!AM1,"AAAAAHfn8yc=")</f>
        <v>#VALUE!</v>
      </c>
      <c r="AO1" t="e">
        <f>AND('2015'!AN1,"AAAAAHfn8yg=")</f>
        <v>#VALUE!</v>
      </c>
      <c r="AP1" t="e">
        <f>AND('2015'!AO1,"AAAAAHfn8yk=")</f>
        <v>#VALUE!</v>
      </c>
      <c r="AQ1" t="e">
        <f>AND('2015'!AP1,"AAAAAHfn8yo=")</f>
        <v>#VALUE!</v>
      </c>
      <c r="AR1" t="e">
        <f>AND('2015'!AQ1,"AAAAAHfn8ys=")</f>
        <v>#VALUE!</v>
      </c>
      <c r="AS1" t="e">
        <f>AND('2015'!AR1,"AAAAAHfn8yw=")</f>
        <v>#VALUE!</v>
      </c>
      <c r="AT1" t="e">
        <f>AND('2015'!AS1,"AAAAAHfn8y0=")</f>
        <v>#VALUE!</v>
      </c>
      <c r="AU1" t="e">
        <f>AND('2015'!AT1,"AAAAAHfn8y4=")</f>
        <v>#VALUE!</v>
      </c>
      <c r="AV1" t="e">
        <f>AND('2015'!#REF!,"AAAAAHfn8y8=")</f>
        <v>#REF!</v>
      </c>
      <c r="AW1" t="e">
        <f>AND('2015'!AU1,"AAAAAHfn8zA=")</f>
        <v>#VALUE!</v>
      </c>
      <c r="AX1" t="e">
        <f>AND('2015'!AV1,"AAAAAHfn8zE=")</f>
        <v>#VALUE!</v>
      </c>
      <c r="AY1" t="e">
        <f>AND('2015'!AW1,"AAAAAHfn8zI=")</f>
        <v>#VALUE!</v>
      </c>
      <c r="AZ1" t="e">
        <f>AND('2015'!AX1,"AAAAAHfn8zM=")</f>
        <v>#VALUE!</v>
      </c>
      <c r="BA1" t="e">
        <f>AND('2015'!AY1,"AAAAAHfn8zQ=")</f>
        <v>#VALUE!</v>
      </c>
      <c r="BB1" t="e">
        <f>AND('2015'!AZ1,"AAAAAHfn8zU=")</f>
        <v>#VALUE!</v>
      </c>
      <c r="BC1" t="e">
        <f>AND('2015'!BA1,"AAAAAHfn8zY=")</f>
        <v>#VALUE!</v>
      </c>
      <c r="BD1" t="e">
        <f>AND('2015'!BB1,"AAAAAHfn8zc=")</f>
        <v>#VALUE!</v>
      </c>
      <c r="BE1" t="e">
        <f>AND('2015'!BC1,"AAAAAHfn8zg=")</f>
        <v>#VALUE!</v>
      </c>
      <c r="BF1" t="e">
        <f>AND('2015'!BD1,"AAAAAHfn8zk=")</f>
        <v>#VALUE!</v>
      </c>
      <c r="BG1" t="e">
        <f>AND('2015'!BE1,"AAAAAHfn8zo=")</f>
        <v>#VALUE!</v>
      </c>
      <c r="BH1" t="e">
        <f>AND('2015'!BF1,"AAAAAHfn8zs=")</f>
        <v>#VALUE!</v>
      </c>
      <c r="BI1" t="e">
        <f>AND('2015'!BG1,"AAAAAHfn8zw=")</f>
        <v>#VALUE!</v>
      </c>
      <c r="BJ1" t="e">
        <f>AND('2015'!BH1,"AAAAAHfn8z0=")</f>
        <v>#VALUE!</v>
      </c>
      <c r="BK1" t="e">
        <f>AND('2015'!#REF!,"AAAAAHfn8z4=")</f>
        <v>#REF!</v>
      </c>
      <c r="BL1" t="e">
        <f>AND('2015'!BI1,"AAAAAHfn8z8=")</f>
        <v>#VALUE!</v>
      </c>
      <c r="BM1" t="e">
        <f>AND('2015'!BJ1,"AAAAAHfn80A=")</f>
        <v>#VALUE!</v>
      </c>
      <c r="BN1" t="e">
        <f>AND('2015'!BK1,"AAAAAHfn80E=")</f>
        <v>#VALUE!</v>
      </c>
      <c r="BO1" t="e">
        <f>AND('2015'!BL1,"AAAAAHfn80I=")</f>
        <v>#VALUE!</v>
      </c>
      <c r="BP1" t="e">
        <f>AND('2015'!BM1,"AAAAAHfn80M=")</f>
        <v>#VALUE!</v>
      </c>
      <c r="BQ1" t="e">
        <f>AND('2015'!BY1,"AAAAAHfn80Q=")</f>
        <v>#VALUE!</v>
      </c>
      <c r="BR1" t="e">
        <f>IF('2015'!#REF!,"AAAAAHfn80U=",0)</f>
        <v>#REF!</v>
      </c>
      <c r="BS1" t="e">
        <f>AND('2015'!#REF!,"AAAAAHfn80Y=")</f>
        <v>#REF!</v>
      </c>
      <c r="BT1" t="e">
        <f>AND('2015'!#REF!,"AAAAAHfn80c=")</f>
        <v>#REF!</v>
      </c>
      <c r="BU1" t="e">
        <f>AND('2015'!#REF!,"AAAAAHfn80g=")</f>
        <v>#REF!</v>
      </c>
      <c r="BV1" t="e">
        <f>AND('2015'!#REF!,"AAAAAHfn80k=")</f>
        <v>#REF!</v>
      </c>
      <c r="BW1" t="e">
        <f>AND('2015'!#REF!,"AAAAAHfn80o=")</f>
        <v>#REF!</v>
      </c>
      <c r="BX1" t="e">
        <f>AND('2015'!#REF!,"AAAAAHfn80s=")</f>
        <v>#REF!</v>
      </c>
      <c r="BY1" t="e">
        <f>AND('2015'!#REF!,"AAAAAHfn80w=")</f>
        <v>#REF!</v>
      </c>
      <c r="BZ1" t="e">
        <f>AND('2015'!#REF!,"AAAAAHfn800=")</f>
        <v>#REF!</v>
      </c>
      <c r="CA1" t="e">
        <f>AND('2015'!#REF!,"AAAAAHfn804=")</f>
        <v>#REF!</v>
      </c>
      <c r="CB1" t="e">
        <f>AND('2015'!#REF!,"AAAAAHfn808=")</f>
        <v>#REF!</v>
      </c>
      <c r="CC1" t="e">
        <f>AND('2015'!#REF!,"AAAAAHfn81A=")</f>
        <v>#REF!</v>
      </c>
      <c r="CD1" t="e">
        <f>AND('2015'!#REF!,"AAAAAHfn81E=")</f>
        <v>#REF!</v>
      </c>
      <c r="CE1" t="e">
        <f>AND('2015'!#REF!,"AAAAAHfn81I=")</f>
        <v>#REF!</v>
      </c>
      <c r="CF1" t="e">
        <f>AND('2015'!#REF!,"AAAAAHfn81M=")</f>
        <v>#REF!</v>
      </c>
      <c r="CG1" t="e">
        <f>AND('2015'!#REF!,"AAAAAHfn81Q=")</f>
        <v>#REF!</v>
      </c>
      <c r="CH1" t="e">
        <f>AND('2015'!#REF!,"AAAAAHfn81U=")</f>
        <v>#REF!</v>
      </c>
      <c r="CI1" t="e">
        <f>AND('2015'!#REF!,"AAAAAHfn81Y=")</f>
        <v>#REF!</v>
      </c>
      <c r="CJ1" t="e">
        <f>AND('2015'!#REF!,"AAAAAHfn81c=")</f>
        <v>#REF!</v>
      </c>
      <c r="CK1" t="e">
        <f>AND('2015'!#REF!,"AAAAAHfn81g=")</f>
        <v>#REF!</v>
      </c>
      <c r="CL1" t="e">
        <f>AND('2015'!#REF!,"AAAAAHfn81k=")</f>
        <v>#REF!</v>
      </c>
      <c r="CM1" t="e">
        <f>AND('2015'!#REF!,"AAAAAHfn81o=")</f>
        <v>#REF!</v>
      </c>
      <c r="CN1" t="e">
        <f>AND('2015'!#REF!,"AAAAAHfn81s=")</f>
        <v>#REF!</v>
      </c>
      <c r="CO1" t="e">
        <f>AND('2015'!#REF!,"AAAAAHfn81w=")</f>
        <v>#REF!</v>
      </c>
      <c r="CP1" t="e">
        <f>AND('2015'!#REF!,"AAAAAHfn810=")</f>
        <v>#REF!</v>
      </c>
      <c r="CQ1" t="e">
        <f>AND('2015'!#REF!,"AAAAAHfn814=")</f>
        <v>#REF!</v>
      </c>
      <c r="CR1" t="e">
        <f>AND('2015'!#REF!,"AAAAAHfn818=")</f>
        <v>#REF!</v>
      </c>
      <c r="CS1" t="e">
        <f>AND('2015'!#REF!,"AAAAAHfn82A=")</f>
        <v>#REF!</v>
      </c>
      <c r="CT1" t="e">
        <f>AND('2015'!#REF!,"AAAAAHfn82E=")</f>
        <v>#REF!</v>
      </c>
      <c r="CU1" t="e">
        <f>AND('2015'!#REF!,"AAAAAHfn82I=")</f>
        <v>#REF!</v>
      </c>
      <c r="CV1" t="e">
        <f>AND('2015'!#REF!,"AAAAAHfn82M=")</f>
        <v>#REF!</v>
      </c>
      <c r="CW1" t="e">
        <f>AND('2015'!#REF!,"AAAAAHfn82Q=")</f>
        <v>#REF!</v>
      </c>
      <c r="CX1" t="e">
        <f>AND('2015'!#REF!,"AAAAAHfn82U=")</f>
        <v>#REF!</v>
      </c>
      <c r="CY1" t="e">
        <f>AND('2015'!#REF!,"AAAAAHfn82Y=")</f>
        <v>#REF!</v>
      </c>
      <c r="CZ1" t="e">
        <f>AND('2015'!#REF!,"AAAAAHfn82c=")</f>
        <v>#REF!</v>
      </c>
      <c r="DA1" t="e">
        <f>AND('2015'!#REF!,"AAAAAHfn82g=")</f>
        <v>#REF!</v>
      </c>
      <c r="DB1" t="e">
        <f>AND('2015'!#REF!,"AAAAAHfn82k=")</f>
        <v>#REF!</v>
      </c>
      <c r="DC1" t="e">
        <f>AND('2015'!#REF!,"AAAAAHfn82o=")</f>
        <v>#REF!</v>
      </c>
      <c r="DD1" t="e">
        <f>AND('2015'!#REF!,"AAAAAHfn82s=")</f>
        <v>#REF!</v>
      </c>
      <c r="DE1" t="e">
        <f>AND('2015'!#REF!,"AAAAAHfn82w=")</f>
        <v>#REF!</v>
      </c>
      <c r="DF1" t="e">
        <f>AND('2015'!#REF!,"AAAAAHfn820=")</f>
        <v>#REF!</v>
      </c>
      <c r="DG1" t="e">
        <f>AND('2015'!#REF!,"AAAAAHfn824=")</f>
        <v>#REF!</v>
      </c>
      <c r="DH1" t="e">
        <f>AND('2015'!#REF!,"AAAAAHfn828=")</f>
        <v>#REF!</v>
      </c>
      <c r="DI1" t="e">
        <f>AND('2015'!#REF!,"AAAAAHfn83A=")</f>
        <v>#REF!</v>
      </c>
      <c r="DJ1" t="e">
        <f>AND('2015'!#REF!,"AAAAAHfn83E=")</f>
        <v>#REF!</v>
      </c>
      <c r="DK1" t="e">
        <f>AND('2015'!#REF!,"AAAAAHfn83I=")</f>
        <v>#REF!</v>
      </c>
      <c r="DL1" t="e">
        <f>AND('2015'!#REF!,"AAAAAHfn83M=")</f>
        <v>#REF!</v>
      </c>
      <c r="DM1" t="e">
        <f>AND('2015'!#REF!,"AAAAAHfn83Q=")</f>
        <v>#REF!</v>
      </c>
      <c r="DN1" t="e">
        <f>AND('2015'!#REF!,"AAAAAHfn83U=")</f>
        <v>#REF!</v>
      </c>
      <c r="DO1" t="e">
        <f>AND('2015'!#REF!,"AAAAAHfn83Y=")</f>
        <v>#REF!</v>
      </c>
      <c r="DP1" t="e">
        <f>AND('2015'!#REF!,"AAAAAHfn83c=")</f>
        <v>#REF!</v>
      </c>
      <c r="DQ1" t="e">
        <f>AND('2015'!#REF!,"AAAAAHfn83g=")</f>
        <v>#REF!</v>
      </c>
      <c r="DR1" t="e">
        <f>AND('2015'!#REF!,"AAAAAHfn83k=")</f>
        <v>#REF!</v>
      </c>
      <c r="DS1" t="e">
        <f>AND('2015'!#REF!,"AAAAAHfn83o=")</f>
        <v>#REF!</v>
      </c>
      <c r="DT1" t="e">
        <f>AND('2015'!#REF!,"AAAAAHfn83s=")</f>
        <v>#REF!</v>
      </c>
      <c r="DU1" t="e">
        <f>AND('2015'!#REF!,"AAAAAHfn83w=")</f>
        <v>#REF!</v>
      </c>
      <c r="DV1" t="e">
        <f>AND('2015'!#REF!,"AAAAAHfn830=")</f>
        <v>#REF!</v>
      </c>
      <c r="DW1" t="e">
        <f>AND('2015'!#REF!,"AAAAAHfn834=")</f>
        <v>#REF!</v>
      </c>
      <c r="DX1" t="e">
        <f>AND('2015'!#REF!,"AAAAAHfn838=")</f>
        <v>#REF!</v>
      </c>
      <c r="DY1" t="e">
        <f>AND('2015'!#REF!,"AAAAAHfn84A=")</f>
        <v>#REF!</v>
      </c>
      <c r="DZ1" t="e">
        <f>AND('2015'!#REF!,"AAAAAHfn84E=")</f>
        <v>#REF!</v>
      </c>
      <c r="EA1" t="e">
        <f>AND('2015'!#REF!,"AAAAAHfn84I=")</f>
        <v>#REF!</v>
      </c>
      <c r="EB1" t="e">
        <f>AND('2015'!#REF!,"AAAAAHfn84M=")</f>
        <v>#REF!</v>
      </c>
      <c r="EC1" t="e">
        <f>AND('2015'!#REF!,"AAAAAHfn84Q=")</f>
        <v>#REF!</v>
      </c>
      <c r="ED1" t="e">
        <f>AND('2015'!#REF!,"AAAAAHfn84U=")</f>
        <v>#REF!</v>
      </c>
      <c r="EE1" t="e">
        <f>AND('2015'!#REF!,"AAAAAHfn84Y=")</f>
        <v>#REF!</v>
      </c>
      <c r="EF1" t="e">
        <f>AND('2015'!#REF!,"AAAAAHfn84c=")</f>
        <v>#REF!</v>
      </c>
      <c r="EG1" t="e">
        <f>AND('2015'!#REF!,"AAAAAHfn84g=")</f>
        <v>#REF!</v>
      </c>
      <c r="EH1" t="e">
        <f>AND('2015'!#REF!,"AAAAAHfn84k=")</f>
        <v>#REF!</v>
      </c>
      <c r="EI1">
        <f>IF('2015'!2:2,"AAAAAHfn84o=",0)</f>
        <v>0</v>
      </c>
      <c r="EJ1" t="e">
        <f>AND('2015'!A2,"AAAAAHfn84s=")</f>
        <v>#VALUE!</v>
      </c>
      <c r="EK1" t="e">
        <f>AND('2015'!B2,"AAAAAHfn84w=")</f>
        <v>#VALUE!</v>
      </c>
      <c r="EL1" t="e">
        <f>AND('2015'!C2,"AAAAAHfn840=")</f>
        <v>#VALUE!</v>
      </c>
      <c r="EM1" t="e">
        <f>AND('2015'!D2,"AAAAAHfn844=")</f>
        <v>#VALUE!</v>
      </c>
      <c r="EN1" t="e">
        <f>AND('2015'!E2,"AAAAAHfn848=")</f>
        <v>#VALUE!</v>
      </c>
      <c r="EO1" t="e">
        <f>AND('2015'!F2,"AAAAAHfn85A=")</f>
        <v>#VALUE!</v>
      </c>
      <c r="EP1" t="e">
        <f>AND('2015'!G2,"AAAAAHfn85E=")</f>
        <v>#VALUE!</v>
      </c>
      <c r="EQ1" t="e">
        <f>AND('2015'!H2,"AAAAAHfn85I=")</f>
        <v>#VALUE!</v>
      </c>
      <c r="ER1" t="e">
        <f>AND('2015'!I2,"AAAAAHfn85M=")</f>
        <v>#VALUE!</v>
      </c>
      <c r="ES1" t="e">
        <f>AND('2015'!J2,"AAAAAHfn85Q=")</f>
        <v>#VALUE!</v>
      </c>
      <c r="ET1" t="e">
        <f>AND('2015'!K2,"AAAAAHfn85U=")</f>
        <v>#VALUE!</v>
      </c>
      <c r="EU1" t="e">
        <f>AND('2015'!L2,"AAAAAHfn85Y=")</f>
        <v>#VALUE!</v>
      </c>
      <c r="EV1" t="e">
        <f>AND('2015'!M2,"AAAAAHfn85c=")</f>
        <v>#VALUE!</v>
      </c>
      <c r="EW1" t="e">
        <f>AND('2015'!N2,"AAAAAHfn85g=")</f>
        <v>#VALUE!</v>
      </c>
      <c r="EX1" t="e">
        <f>AND('2015'!O2,"AAAAAHfn85k=")</f>
        <v>#VALUE!</v>
      </c>
      <c r="EY1" t="e">
        <f>AND('2015'!P2,"AAAAAHfn85o=")</f>
        <v>#VALUE!</v>
      </c>
      <c r="EZ1" t="e">
        <f>AND('2015'!Q2,"AAAAAHfn85s=")</f>
        <v>#VALUE!</v>
      </c>
      <c r="FA1" t="e">
        <f>AND('2015'!R2,"AAAAAHfn85w=")</f>
        <v>#VALUE!</v>
      </c>
      <c r="FB1" t="e">
        <f>AND('2015'!S2,"AAAAAHfn850=")</f>
        <v>#VALUE!</v>
      </c>
      <c r="FC1" t="e">
        <f>AND('2015'!T2,"AAAAAHfn854=")</f>
        <v>#VALUE!</v>
      </c>
      <c r="FD1" t="e">
        <f>AND('2015'!U2,"AAAAAHfn858=")</f>
        <v>#VALUE!</v>
      </c>
      <c r="FE1" t="e">
        <f>AND('2015'!V2,"AAAAAHfn86A=")</f>
        <v>#VALUE!</v>
      </c>
      <c r="FF1" t="e">
        <f>AND('2015'!W2,"AAAAAHfn86E=")</f>
        <v>#VALUE!</v>
      </c>
      <c r="FG1" t="e">
        <f>AND('2015'!X2,"AAAAAHfn86I=")</f>
        <v>#VALUE!</v>
      </c>
      <c r="FH1" t="e">
        <f>AND('2015'!Y2,"AAAAAHfn86M=")</f>
        <v>#VALUE!</v>
      </c>
      <c r="FI1" t="e">
        <f>AND('2015'!Z2,"AAAAAHfn86Q=")</f>
        <v>#VALUE!</v>
      </c>
      <c r="FJ1" t="e">
        <f>AND('2015'!AA2,"AAAAAHfn86U=")</f>
        <v>#VALUE!</v>
      </c>
      <c r="FK1" t="e">
        <f>AND('2015'!AB2,"AAAAAHfn86Y=")</f>
        <v>#VALUE!</v>
      </c>
      <c r="FL1" t="e">
        <f>AND('2015'!AC2,"AAAAAHfn86c=")</f>
        <v>#VALUE!</v>
      </c>
      <c r="FM1" t="e">
        <f>AND('2015'!AD2,"AAAAAHfn86g=")</f>
        <v>#VALUE!</v>
      </c>
      <c r="FN1" t="e">
        <f>AND('2015'!AE2,"AAAAAHfn86k=")</f>
        <v>#VALUE!</v>
      </c>
      <c r="FO1" t="e">
        <f>AND('2015'!AF2,"AAAAAHfn86o=")</f>
        <v>#VALUE!</v>
      </c>
      <c r="FP1" t="e">
        <f>AND('2015'!AG2,"AAAAAHfn86s=")</f>
        <v>#VALUE!</v>
      </c>
      <c r="FQ1" t="e">
        <f>AND('2015'!AH2,"AAAAAHfn86w=")</f>
        <v>#VALUE!</v>
      </c>
      <c r="FR1" t="e">
        <f>AND('2015'!AI2,"AAAAAHfn860=")</f>
        <v>#VALUE!</v>
      </c>
      <c r="FS1" t="e">
        <f>AND('2015'!AJ2,"AAAAAHfn864=")</f>
        <v>#VALUE!</v>
      </c>
      <c r="FT1" t="e">
        <f>AND('2015'!AK2,"AAAAAHfn868=")</f>
        <v>#VALUE!</v>
      </c>
      <c r="FU1" t="e">
        <f>AND('2015'!AL2,"AAAAAHfn87A=")</f>
        <v>#VALUE!</v>
      </c>
      <c r="FV1" t="e">
        <f>AND('2015'!AM2,"AAAAAHfn87E=")</f>
        <v>#VALUE!</v>
      </c>
      <c r="FW1" t="e">
        <f>AND('2015'!AN2,"AAAAAHfn87I=")</f>
        <v>#VALUE!</v>
      </c>
      <c r="FX1" t="e">
        <f>AND('2015'!AO2,"AAAAAHfn87M=")</f>
        <v>#VALUE!</v>
      </c>
      <c r="FY1" t="e">
        <f>AND('2015'!AP2,"AAAAAHfn87Q=")</f>
        <v>#VALUE!</v>
      </c>
      <c r="FZ1" t="e">
        <f>AND('2015'!AQ2,"AAAAAHfn87U=")</f>
        <v>#VALUE!</v>
      </c>
      <c r="GA1" t="e">
        <f>AND('2015'!AR2,"AAAAAHfn87Y=")</f>
        <v>#VALUE!</v>
      </c>
      <c r="GB1" t="e">
        <f>AND('2015'!AS2,"AAAAAHfn87c=")</f>
        <v>#VALUE!</v>
      </c>
      <c r="GC1" t="e">
        <f>AND('2015'!AT2,"AAAAAHfn87g=")</f>
        <v>#VALUE!</v>
      </c>
      <c r="GD1" t="e">
        <f>AND('2015'!#REF!,"AAAAAHfn87k=")</f>
        <v>#REF!</v>
      </c>
      <c r="GE1" t="e">
        <f>AND('2015'!AU2,"AAAAAHfn87o=")</f>
        <v>#VALUE!</v>
      </c>
      <c r="GF1" t="e">
        <f>AND('2015'!AV2,"AAAAAHfn87s=")</f>
        <v>#VALUE!</v>
      </c>
      <c r="GG1" t="e">
        <f>AND('2015'!AW2,"AAAAAHfn87w=")</f>
        <v>#VALUE!</v>
      </c>
      <c r="GH1" t="e">
        <f>AND('2015'!AX2,"AAAAAHfn870=")</f>
        <v>#VALUE!</v>
      </c>
      <c r="GI1" t="e">
        <f>AND('2015'!AY2,"AAAAAHfn874=")</f>
        <v>#VALUE!</v>
      </c>
      <c r="GJ1" t="e">
        <f>AND('2015'!AZ2,"AAAAAHfn878=")</f>
        <v>#VALUE!</v>
      </c>
      <c r="GK1" t="e">
        <f>AND('2015'!BA2,"AAAAAHfn88A=")</f>
        <v>#VALUE!</v>
      </c>
      <c r="GL1" t="e">
        <f>AND('2015'!BB2,"AAAAAHfn88E=")</f>
        <v>#VALUE!</v>
      </c>
      <c r="GM1" t="e">
        <f>AND('2015'!BC2,"AAAAAHfn88I=")</f>
        <v>#VALUE!</v>
      </c>
      <c r="GN1" t="e">
        <f>AND('2015'!BD2,"AAAAAHfn88M=")</f>
        <v>#VALUE!</v>
      </c>
      <c r="GO1" t="e">
        <f>AND('2015'!BE2,"AAAAAHfn88Q=")</f>
        <v>#VALUE!</v>
      </c>
      <c r="GP1" t="e">
        <f>AND('2015'!BF2,"AAAAAHfn88U=")</f>
        <v>#VALUE!</v>
      </c>
      <c r="GQ1" t="e">
        <f>AND('2015'!BG2,"AAAAAHfn88Y=")</f>
        <v>#VALUE!</v>
      </c>
      <c r="GR1" t="e">
        <f>AND('2015'!BH2,"AAAAAHfn88c=")</f>
        <v>#VALUE!</v>
      </c>
      <c r="GS1" t="e">
        <f>AND('2015'!BI2,"AAAAAHfn88g=")</f>
        <v>#VALUE!</v>
      </c>
      <c r="GT1" t="e">
        <f>AND('2015'!#REF!,"AAAAAHfn88k=")</f>
        <v>#REF!</v>
      </c>
      <c r="GU1" t="e">
        <f>AND('2015'!BJ2,"AAAAAHfn88o=")</f>
        <v>#VALUE!</v>
      </c>
      <c r="GV1" t="e">
        <f>AND('2015'!BK2,"AAAAAHfn88s=")</f>
        <v>#VALUE!</v>
      </c>
      <c r="GW1" t="e">
        <f>AND('2015'!BL2,"AAAAAHfn88w=")</f>
        <v>#VALUE!</v>
      </c>
      <c r="GX1" t="e">
        <f>AND('2015'!BM2,"AAAAAHfn880=")</f>
        <v>#VALUE!</v>
      </c>
      <c r="GY1" t="e">
        <f>AND('2015'!BY2,"AAAAAHfn884=")</f>
        <v>#VALUE!</v>
      </c>
      <c r="GZ1">
        <f>IF('2015'!3:3,"AAAAAHfn888=",0)</f>
        <v>0</v>
      </c>
      <c r="HA1" t="e">
        <f>AND('2015'!A3,"AAAAAHfn89A=")</f>
        <v>#VALUE!</v>
      </c>
      <c r="HB1" t="e">
        <f>AND('2015'!B3,"AAAAAHfn89E=")</f>
        <v>#VALUE!</v>
      </c>
      <c r="HC1" t="e">
        <f>AND('2015'!C3,"AAAAAHfn89I=")</f>
        <v>#VALUE!</v>
      </c>
      <c r="HD1" t="e">
        <f>AND('2015'!D3,"AAAAAHfn89M=")</f>
        <v>#VALUE!</v>
      </c>
      <c r="HE1" t="e">
        <f>AND('2015'!E3,"AAAAAHfn89Q=")</f>
        <v>#VALUE!</v>
      </c>
      <c r="HF1" t="e">
        <f>AND('2015'!F3,"AAAAAHfn89U=")</f>
        <v>#VALUE!</v>
      </c>
      <c r="HG1" t="e">
        <f>AND('2015'!G3,"AAAAAHfn89Y=")</f>
        <v>#VALUE!</v>
      </c>
      <c r="HH1" t="e">
        <f>AND('2015'!H3,"AAAAAHfn89c=")</f>
        <v>#VALUE!</v>
      </c>
      <c r="HI1" t="e">
        <f>AND('2015'!I3,"AAAAAHfn89g=")</f>
        <v>#VALUE!</v>
      </c>
      <c r="HJ1" t="e">
        <f>AND('2015'!J3,"AAAAAHfn89k=")</f>
        <v>#VALUE!</v>
      </c>
      <c r="HK1" t="e">
        <f>AND('2015'!K3,"AAAAAHfn89o=")</f>
        <v>#VALUE!</v>
      </c>
      <c r="HL1" t="e">
        <f>AND('2015'!L3,"AAAAAHfn89s=")</f>
        <v>#VALUE!</v>
      </c>
      <c r="HM1" t="e">
        <f>AND('2015'!M3,"AAAAAHfn89w=")</f>
        <v>#VALUE!</v>
      </c>
      <c r="HN1" t="e">
        <f>AND('2015'!N3,"AAAAAHfn890=")</f>
        <v>#VALUE!</v>
      </c>
      <c r="HO1" t="e">
        <f>AND('2015'!O3,"AAAAAHfn894=")</f>
        <v>#VALUE!</v>
      </c>
      <c r="HP1" t="e">
        <f>AND('2015'!P3,"AAAAAHfn898=")</f>
        <v>#VALUE!</v>
      </c>
      <c r="HQ1" t="e">
        <f>AND('2015'!Q3,"AAAAAHfn8+A=")</f>
        <v>#VALUE!</v>
      </c>
      <c r="HR1" t="e">
        <f>AND('2015'!R3,"AAAAAHfn8+E=")</f>
        <v>#VALUE!</v>
      </c>
      <c r="HS1" t="e">
        <f>AND('2015'!S3,"AAAAAHfn8+I=")</f>
        <v>#VALUE!</v>
      </c>
      <c r="HT1" t="e">
        <f>AND('2015'!T3,"AAAAAHfn8+M=")</f>
        <v>#VALUE!</v>
      </c>
      <c r="HU1" t="e">
        <f>AND('2015'!U3,"AAAAAHfn8+Q=")</f>
        <v>#VALUE!</v>
      </c>
      <c r="HV1" t="e">
        <f>AND('2015'!V3,"AAAAAHfn8+U=")</f>
        <v>#VALUE!</v>
      </c>
      <c r="HW1" t="e">
        <f>AND('2015'!W3,"AAAAAHfn8+Y=")</f>
        <v>#VALUE!</v>
      </c>
      <c r="HX1" t="e">
        <f>AND('2015'!X3,"AAAAAHfn8+c=")</f>
        <v>#VALUE!</v>
      </c>
      <c r="HY1" t="e">
        <f>AND('2015'!Y3,"AAAAAHfn8+g=")</f>
        <v>#VALUE!</v>
      </c>
      <c r="HZ1" t="e">
        <f>AND('2015'!Z3,"AAAAAHfn8+k=")</f>
        <v>#VALUE!</v>
      </c>
      <c r="IA1" t="e">
        <f>AND('2015'!AA3,"AAAAAHfn8+o=")</f>
        <v>#VALUE!</v>
      </c>
      <c r="IB1" t="e">
        <f>AND('2015'!AB3,"AAAAAHfn8+s=")</f>
        <v>#VALUE!</v>
      </c>
      <c r="IC1" t="e">
        <f>AND('2015'!AC3,"AAAAAHfn8+w=")</f>
        <v>#VALUE!</v>
      </c>
      <c r="ID1" t="e">
        <f>AND('2015'!AD3,"AAAAAHfn8+0=")</f>
        <v>#VALUE!</v>
      </c>
      <c r="IE1" t="e">
        <f>AND('2015'!AE3,"AAAAAHfn8+4=")</f>
        <v>#VALUE!</v>
      </c>
      <c r="IF1" t="e">
        <f>AND('2015'!AF3,"AAAAAHfn8+8=")</f>
        <v>#VALUE!</v>
      </c>
      <c r="IG1" t="e">
        <f>AND('2015'!AG3,"AAAAAHfn8/A=")</f>
        <v>#VALUE!</v>
      </c>
      <c r="IH1" t="e">
        <f>AND('2015'!AH3,"AAAAAHfn8/E=")</f>
        <v>#VALUE!</v>
      </c>
      <c r="II1" t="e">
        <f>AND('2015'!AI3,"AAAAAHfn8/I=")</f>
        <v>#VALUE!</v>
      </c>
      <c r="IJ1" t="e">
        <f>AND('2015'!AJ3,"AAAAAHfn8/M=")</f>
        <v>#VALUE!</v>
      </c>
      <c r="IK1" t="e">
        <f>AND('2015'!AK3,"AAAAAHfn8/Q=")</f>
        <v>#VALUE!</v>
      </c>
      <c r="IL1" t="e">
        <f>AND('2015'!AL3,"AAAAAHfn8/U=")</f>
        <v>#VALUE!</v>
      </c>
      <c r="IM1" t="e">
        <f>AND('2015'!AM3,"AAAAAHfn8/Y=")</f>
        <v>#VALUE!</v>
      </c>
      <c r="IN1" t="e">
        <f>AND('2015'!AN3,"AAAAAHfn8/c=")</f>
        <v>#VALUE!</v>
      </c>
      <c r="IO1" t="e">
        <f>AND('2015'!AO3,"AAAAAHfn8/g=")</f>
        <v>#VALUE!</v>
      </c>
      <c r="IP1" t="e">
        <f>AND('2015'!AP3,"AAAAAHfn8/k=")</f>
        <v>#VALUE!</v>
      </c>
      <c r="IQ1" t="e">
        <f>AND('2015'!AQ3,"AAAAAHfn8/o=")</f>
        <v>#VALUE!</v>
      </c>
      <c r="IR1" t="e">
        <f>AND('2015'!AR3,"AAAAAHfn8/s=")</f>
        <v>#VALUE!</v>
      </c>
      <c r="IS1" t="e">
        <f>AND('2015'!AS3,"AAAAAHfn8/w=")</f>
        <v>#VALUE!</v>
      </c>
      <c r="IT1" t="e">
        <f>AND('2015'!AT3,"AAAAAHfn8/0=")</f>
        <v>#VALUE!</v>
      </c>
      <c r="IU1" t="e">
        <f>AND('2015'!#REF!,"AAAAAHfn8/4=")</f>
        <v>#REF!</v>
      </c>
      <c r="IV1" t="e">
        <f>AND('2015'!AU3,"AAAAAHfn8/8=")</f>
        <v>#VALUE!</v>
      </c>
    </row>
    <row r="2" spans="1:256" x14ac:dyDescent="0.25">
      <c r="A2" t="e">
        <f>AND('2015'!AV3,"AAAAADv/RwA=")</f>
        <v>#VALUE!</v>
      </c>
      <c r="B2" t="e">
        <f>AND('2015'!AW3,"AAAAADv/RwE=")</f>
        <v>#VALUE!</v>
      </c>
      <c r="C2" t="e">
        <f>AND('2015'!AX3,"AAAAADv/RwI=")</f>
        <v>#VALUE!</v>
      </c>
      <c r="D2" t="e">
        <f>AND('2015'!AY3,"AAAAADv/RwM=")</f>
        <v>#VALUE!</v>
      </c>
      <c r="E2" t="e">
        <f>AND('2015'!AZ3,"AAAAADv/RwQ=")</f>
        <v>#VALUE!</v>
      </c>
      <c r="F2" t="e">
        <f>AND('2015'!BA3,"AAAAADv/RwU=")</f>
        <v>#VALUE!</v>
      </c>
      <c r="G2" t="e">
        <f>AND('2015'!BB3,"AAAAADv/RwY=")</f>
        <v>#VALUE!</v>
      </c>
      <c r="H2" t="e">
        <f>AND('2015'!BC3,"AAAAADv/Rwc=")</f>
        <v>#VALUE!</v>
      </c>
      <c r="I2" t="e">
        <f>AND('2015'!BD3,"AAAAADv/Rwg=")</f>
        <v>#VALUE!</v>
      </c>
      <c r="J2" t="e">
        <f>AND('2015'!BE3,"AAAAADv/Rwk=")</f>
        <v>#VALUE!</v>
      </c>
      <c r="K2" t="e">
        <f>AND('2015'!BF3,"AAAAADv/Rwo=")</f>
        <v>#VALUE!</v>
      </c>
      <c r="L2" t="e">
        <f>AND('2015'!BG3,"AAAAADv/Rws=")</f>
        <v>#VALUE!</v>
      </c>
      <c r="M2" t="e">
        <f>AND('2015'!BH3,"AAAAADv/Rww=")</f>
        <v>#VALUE!</v>
      </c>
      <c r="N2" t="e">
        <f>AND('2015'!BI3,"AAAAADv/Rw0=")</f>
        <v>#VALUE!</v>
      </c>
      <c r="O2" t="e">
        <f>AND('2015'!#REF!,"AAAAADv/Rw4=")</f>
        <v>#REF!</v>
      </c>
      <c r="P2" t="e">
        <f>AND('2015'!BJ3,"AAAAADv/Rw8=")</f>
        <v>#VALUE!</v>
      </c>
      <c r="Q2" t="e">
        <f>AND('2015'!BK3,"AAAAADv/RxA=")</f>
        <v>#VALUE!</v>
      </c>
      <c r="R2" t="e">
        <f>AND('2015'!BL3,"AAAAADv/RxE=")</f>
        <v>#VALUE!</v>
      </c>
      <c r="S2" t="e">
        <f>AND('2015'!BM3,"AAAAADv/RxI=")</f>
        <v>#VALUE!</v>
      </c>
      <c r="T2" t="e">
        <f>AND('2015'!BY3,"AAAAADv/RxM=")</f>
        <v>#VALUE!</v>
      </c>
      <c r="U2">
        <f>IF('2015'!4:4,"AAAAADv/RxQ=",0)</f>
        <v>0</v>
      </c>
      <c r="V2" t="e">
        <f>AND('2015'!A4,"AAAAADv/RxU=")</f>
        <v>#VALUE!</v>
      </c>
      <c r="W2" t="e">
        <f>AND('2015'!B8,"AAAAADv/RxY=")</f>
        <v>#VALUE!</v>
      </c>
      <c r="X2" t="e">
        <f>AND('2015'!C8,"AAAAADv/Rxc=")</f>
        <v>#VALUE!</v>
      </c>
      <c r="Y2" t="e">
        <f>AND('2015'!D8,"AAAAADv/Rxg=")</f>
        <v>#VALUE!</v>
      </c>
      <c r="Z2" t="e">
        <f>AND('2015'!E8,"AAAAADv/Rxk=")</f>
        <v>#VALUE!</v>
      </c>
      <c r="AA2" t="e">
        <f>AND('2015'!F8,"AAAAADv/Rxo=")</f>
        <v>#VALUE!</v>
      </c>
      <c r="AB2" t="e">
        <f>AND('2015'!G4,"AAAAADv/Rxs=")</f>
        <v>#VALUE!</v>
      </c>
      <c r="AC2" t="e">
        <f>AND('2015'!H4,"AAAAADv/Rxw=")</f>
        <v>#VALUE!</v>
      </c>
      <c r="AD2" t="e">
        <f>AND('2015'!I4,"AAAAADv/Rx0=")</f>
        <v>#VALUE!</v>
      </c>
      <c r="AE2" t="e">
        <f>AND('2015'!J4,"AAAAADv/Rx4=")</f>
        <v>#VALUE!</v>
      </c>
      <c r="AF2" t="e">
        <f>AND('2015'!K4,"AAAAADv/Rx8=")</f>
        <v>#VALUE!</v>
      </c>
      <c r="AG2" t="e">
        <f>AND('2015'!L4,"AAAAADv/RyA=")</f>
        <v>#VALUE!</v>
      </c>
      <c r="AH2" t="e">
        <f>AND('2015'!M4,"AAAAADv/RyE=")</f>
        <v>#VALUE!</v>
      </c>
      <c r="AI2" t="e">
        <f>AND('2015'!N4,"AAAAADv/RyI=")</f>
        <v>#VALUE!</v>
      </c>
      <c r="AJ2" t="e">
        <f>AND('2015'!O4,"AAAAADv/RyM=")</f>
        <v>#VALUE!</v>
      </c>
      <c r="AK2" t="e">
        <f>AND('2015'!P4,"AAAAADv/RyQ=")</f>
        <v>#VALUE!</v>
      </c>
      <c r="AL2" t="e">
        <f>AND('2015'!Q4,"AAAAADv/RyU=")</f>
        <v>#VALUE!</v>
      </c>
      <c r="AM2" t="e">
        <f>AND('2015'!R4,"AAAAADv/RyY=")</f>
        <v>#VALUE!</v>
      </c>
      <c r="AN2" t="e">
        <f>AND('2015'!S4,"AAAAADv/Ryc=")</f>
        <v>#VALUE!</v>
      </c>
      <c r="AO2" t="e">
        <f>AND('2015'!T4,"AAAAADv/Ryg=")</f>
        <v>#VALUE!</v>
      </c>
      <c r="AP2" t="e">
        <f>AND('2015'!U4,"AAAAADv/Ryk=")</f>
        <v>#VALUE!</v>
      </c>
      <c r="AQ2" t="e">
        <f>AND('2015'!V4,"AAAAADv/Ryo=")</f>
        <v>#VALUE!</v>
      </c>
      <c r="AR2" t="e">
        <f>AND('2015'!W4,"AAAAADv/Rys=")</f>
        <v>#VALUE!</v>
      </c>
      <c r="AS2" t="e">
        <f>AND('2015'!X4,"AAAAADv/Ryw=")</f>
        <v>#VALUE!</v>
      </c>
      <c r="AT2" t="e">
        <f>AND('2015'!Y4,"AAAAADv/Ry0=")</f>
        <v>#VALUE!</v>
      </c>
      <c r="AU2" t="e">
        <f>AND('2015'!Z4,"AAAAADv/Ry4=")</f>
        <v>#VALUE!</v>
      </c>
      <c r="AV2" t="e">
        <f>AND('2015'!AA4,"AAAAADv/Ry8=")</f>
        <v>#VALUE!</v>
      </c>
      <c r="AW2" t="e">
        <f>AND('2015'!AB4,"AAAAADv/RzA=")</f>
        <v>#VALUE!</v>
      </c>
      <c r="AX2" t="e">
        <f>AND('2015'!AC4,"AAAAADv/RzE=")</f>
        <v>#VALUE!</v>
      </c>
      <c r="AY2" t="e">
        <f>AND('2015'!AD4,"AAAAADv/RzI=")</f>
        <v>#VALUE!</v>
      </c>
      <c r="AZ2" t="e">
        <f>AND('2015'!AE4,"AAAAADv/RzM=")</f>
        <v>#VALUE!</v>
      </c>
      <c r="BA2" t="e">
        <f>AND('2015'!AF4,"AAAAADv/RzQ=")</f>
        <v>#VALUE!</v>
      </c>
      <c r="BB2" t="e">
        <f>AND('2015'!AG4,"AAAAADv/RzU=")</f>
        <v>#VALUE!</v>
      </c>
      <c r="BC2" t="e">
        <f>AND('2015'!AH4,"AAAAADv/RzY=")</f>
        <v>#VALUE!</v>
      </c>
      <c r="BD2" t="e">
        <f>AND('2015'!AI4,"AAAAADv/Rzc=")</f>
        <v>#VALUE!</v>
      </c>
      <c r="BE2" t="e">
        <f>AND('2015'!AJ4,"AAAAADv/Rzg=")</f>
        <v>#VALUE!</v>
      </c>
      <c r="BF2" t="e">
        <f>AND('2015'!AK4,"AAAAADv/Rzk=")</f>
        <v>#VALUE!</v>
      </c>
      <c r="BG2" t="e">
        <f>AND('2015'!AL4,"AAAAADv/Rzo=")</f>
        <v>#VALUE!</v>
      </c>
      <c r="BH2" t="e">
        <f>AND('2015'!AM4,"AAAAADv/Rzs=")</f>
        <v>#VALUE!</v>
      </c>
      <c r="BI2" t="e">
        <f>AND('2015'!AN4,"AAAAADv/Rzw=")</f>
        <v>#VALUE!</v>
      </c>
      <c r="BJ2" t="e">
        <f>AND('2015'!AO4,"AAAAADv/Rz0=")</f>
        <v>#VALUE!</v>
      </c>
      <c r="BK2" t="e">
        <f>AND('2015'!AP4,"AAAAADv/Rz4=")</f>
        <v>#VALUE!</v>
      </c>
      <c r="BL2" t="e">
        <f>AND('2015'!AQ4,"AAAAADv/Rz8=")</f>
        <v>#VALUE!</v>
      </c>
      <c r="BM2" t="e">
        <f>AND('2015'!AR4,"AAAAADv/R0A=")</f>
        <v>#VALUE!</v>
      </c>
      <c r="BN2" t="e">
        <f>AND('2015'!AS4,"AAAAADv/R0E=")</f>
        <v>#VALUE!</v>
      </c>
      <c r="BO2" t="e">
        <f>AND('2015'!AT4,"AAAAADv/R0I=")</f>
        <v>#VALUE!</v>
      </c>
      <c r="BP2" t="e">
        <f>AND('2015'!#REF!,"AAAAADv/R0M=")</f>
        <v>#REF!</v>
      </c>
      <c r="BQ2" t="e">
        <f>AND('2015'!AU4,"AAAAADv/R0Q=")</f>
        <v>#VALUE!</v>
      </c>
      <c r="BR2" t="e">
        <f>AND('2015'!AV4,"AAAAADv/R0U=")</f>
        <v>#VALUE!</v>
      </c>
      <c r="BS2" t="e">
        <f>AND('2015'!AW4,"AAAAADv/R0Y=")</f>
        <v>#VALUE!</v>
      </c>
      <c r="BT2" t="e">
        <f>AND('2015'!AX4,"AAAAADv/R0c=")</f>
        <v>#VALUE!</v>
      </c>
      <c r="BU2" t="e">
        <f>AND('2015'!AY4,"AAAAADv/R0g=")</f>
        <v>#VALUE!</v>
      </c>
      <c r="BV2" t="e">
        <f>AND('2015'!AZ4,"AAAAADv/R0k=")</f>
        <v>#VALUE!</v>
      </c>
      <c r="BW2" t="e">
        <f>AND('2015'!BA4,"AAAAADv/R0o=")</f>
        <v>#VALUE!</v>
      </c>
      <c r="BX2" t="e">
        <f>AND('2015'!BB4,"AAAAADv/R0s=")</f>
        <v>#VALUE!</v>
      </c>
      <c r="BY2" t="e">
        <f>AND('2015'!BC4,"AAAAADv/R0w=")</f>
        <v>#VALUE!</v>
      </c>
      <c r="BZ2" t="e">
        <f>AND('2015'!BD4,"AAAAADv/R00=")</f>
        <v>#VALUE!</v>
      </c>
      <c r="CA2" t="e">
        <f>AND('2015'!BE4,"AAAAADv/R04=")</f>
        <v>#VALUE!</v>
      </c>
      <c r="CB2" t="e">
        <f>AND('2015'!BF4,"AAAAADv/R08=")</f>
        <v>#VALUE!</v>
      </c>
      <c r="CC2" t="e">
        <f>AND('2015'!BG4,"AAAAADv/R1A=")</f>
        <v>#VALUE!</v>
      </c>
      <c r="CD2" t="e">
        <f>AND('2015'!BH4,"AAAAADv/R1E=")</f>
        <v>#VALUE!</v>
      </c>
      <c r="CE2" t="e">
        <f>AND('2015'!BI4,"AAAAADv/R1I=")</f>
        <v>#VALUE!</v>
      </c>
      <c r="CF2" t="e">
        <f>AND('2015'!#REF!,"AAAAADv/R1M=")</f>
        <v>#REF!</v>
      </c>
      <c r="CG2" t="e">
        <f>AND('2015'!BJ4,"AAAAADv/R1Q=")</f>
        <v>#VALUE!</v>
      </c>
      <c r="CH2" t="e">
        <f>AND('2015'!BK4,"AAAAADv/R1U=")</f>
        <v>#VALUE!</v>
      </c>
      <c r="CI2" t="e">
        <f>AND('2015'!BL4,"AAAAADv/R1Y=")</f>
        <v>#VALUE!</v>
      </c>
      <c r="CJ2" t="e">
        <f>AND('2015'!BM4,"AAAAADv/R1c=")</f>
        <v>#VALUE!</v>
      </c>
      <c r="CK2" t="e">
        <f>AND('2015'!BY4,"AAAAADv/R1g=")</f>
        <v>#VALUE!</v>
      </c>
      <c r="CL2">
        <f>IF('2015'!5:5,"AAAAADv/R1k=",0)</f>
        <v>0</v>
      </c>
      <c r="CM2" t="e">
        <f>AND('2015'!A5,"AAAAADv/R1o=")</f>
        <v>#VALUE!</v>
      </c>
      <c r="CN2" t="e">
        <f>AND('2015'!B5,"AAAAADv/R1s=")</f>
        <v>#VALUE!</v>
      </c>
      <c r="CO2" t="e">
        <f>AND('2015'!C5,"AAAAADv/R1w=")</f>
        <v>#VALUE!</v>
      </c>
      <c r="CP2" t="e">
        <f>AND('2015'!D5,"AAAAADv/R10=")</f>
        <v>#VALUE!</v>
      </c>
      <c r="CQ2" t="e">
        <f>AND('2015'!E5,"AAAAADv/R14=")</f>
        <v>#VALUE!</v>
      </c>
      <c r="CR2" t="e">
        <f>AND('2015'!F5,"AAAAADv/R18=")</f>
        <v>#VALUE!</v>
      </c>
      <c r="CS2" t="e">
        <f>AND('2015'!G5,"AAAAADv/R2A=")</f>
        <v>#VALUE!</v>
      </c>
      <c r="CT2" t="e">
        <f>AND('2015'!H5,"AAAAADv/R2E=")</f>
        <v>#VALUE!</v>
      </c>
      <c r="CU2" t="e">
        <f>AND('2015'!I5,"AAAAADv/R2I=")</f>
        <v>#VALUE!</v>
      </c>
      <c r="CV2" t="e">
        <f>AND('2015'!J5,"AAAAADv/R2M=")</f>
        <v>#VALUE!</v>
      </c>
      <c r="CW2" t="e">
        <f>AND('2015'!K5,"AAAAADv/R2Q=")</f>
        <v>#VALUE!</v>
      </c>
      <c r="CX2" t="e">
        <f>AND('2015'!L5,"AAAAADv/R2U=")</f>
        <v>#VALUE!</v>
      </c>
      <c r="CY2" t="e">
        <f>AND('2015'!M5,"AAAAADv/R2Y=")</f>
        <v>#VALUE!</v>
      </c>
      <c r="CZ2" t="e">
        <f>AND('2015'!N5,"AAAAADv/R2c=")</f>
        <v>#VALUE!</v>
      </c>
      <c r="DA2" t="e">
        <f>AND('2015'!O5,"AAAAADv/R2g=")</f>
        <v>#VALUE!</v>
      </c>
      <c r="DB2" t="e">
        <f>AND('2015'!P5,"AAAAADv/R2k=")</f>
        <v>#VALUE!</v>
      </c>
      <c r="DC2" t="e">
        <f>AND('2015'!Q5,"AAAAADv/R2o=")</f>
        <v>#VALUE!</v>
      </c>
      <c r="DD2" t="e">
        <f>AND('2015'!R5,"AAAAADv/R2s=")</f>
        <v>#VALUE!</v>
      </c>
      <c r="DE2" t="e">
        <f>AND('2015'!S5,"AAAAADv/R2w=")</f>
        <v>#VALUE!</v>
      </c>
      <c r="DF2" t="e">
        <f>AND('2015'!T5,"AAAAADv/R20=")</f>
        <v>#VALUE!</v>
      </c>
      <c r="DG2" t="e">
        <f>AND('2015'!U5,"AAAAADv/R24=")</f>
        <v>#VALUE!</v>
      </c>
      <c r="DH2" t="e">
        <f>AND('2015'!V5,"AAAAADv/R28=")</f>
        <v>#VALUE!</v>
      </c>
      <c r="DI2" t="e">
        <f>AND('2015'!W5,"AAAAADv/R3A=")</f>
        <v>#VALUE!</v>
      </c>
      <c r="DJ2" t="e">
        <f>AND('2015'!X5,"AAAAADv/R3E=")</f>
        <v>#VALUE!</v>
      </c>
      <c r="DK2" t="e">
        <f>AND('2015'!Y5,"AAAAADv/R3I=")</f>
        <v>#VALUE!</v>
      </c>
      <c r="DL2" t="e">
        <f>AND('2015'!Z5,"AAAAADv/R3M=")</f>
        <v>#VALUE!</v>
      </c>
      <c r="DM2" t="e">
        <f>AND('2015'!AA5,"AAAAADv/R3Q=")</f>
        <v>#VALUE!</v>
      </c>
      <c r="DN2" t="e">
        <f>AND('2015'!AB5,"AAAAADv/R3U=")</f>
        <v>#VALUE!</v>
      </c>
      <c r="DO2" t="e">
        <f>AND('2015'!AC5,"AAAAADv/R3Y=")</f>
        <v>#VALUE!</v>
      </c>
      <c r="DP2" t="e">
        <f>AND('2015'!AD5,"AAAAADv/R3c=")</f>
        <v>#VALUE!</v>
      </c>
      <c r="DQ2" t="e">
        <f>AND('2015'!AE5,"AAAAADv/R3g=")</f>
        <v>#VALUE!</v>
      </c>
      <c r="DR2" t="e">
        <f>AND('2015'!AF5,"AAAAADv/R3k=")</f>
        <v>#VALUE!</v>
      </c>
      <c r="DS2" t="e">
        <f>AND('2015'!AG5,"AAAAADv/R3o=")</f>
        <v>#VALUE!</v>
      </c>
      <c r="DT2" t="e">
        <f>AND('2015'!AH5,"AAAAADv/R3s=")</f>
        <v>#VALUE!</v>
      </c>
      <c r="DU2" t="e">
        <f>AND('2015'!AI5,"AAAAADv/R3w=")</f>
        <v>#VALUE!</v>
      </c>
      <c r="DV2" t="e">
        <f>AND('2015'!AJ5,"AAAAADv/R30=")</f>
        <v>#VALUE!</v>
      </c>
      <c r="DW2" t="e">
        <f>AND('2015'!AK5,"AAAAADv/R34=")</f>
        <v>#VALUE!</v>
      </c>
      <c r="DX2" t="e">
        <f>AND('2015'!AL5,"AAAAADv/R38=")</f>
        <v>#VALUE!</v>
      </c>
      <c r="DY2" t="e">
        <f>AND('2015'!AM5,"AAAAADv/R4A=")</f>
        <v>#VALUE!</v>
      </c>
      <c r="DZ2" t="e">
        <f>AND('2015'!AN5,"AAAAADv/R4E=")</f>
        <v>#VALUE!</v>
      </c>
      <c r="EA2" t="e">
        <f>AND('2015'!AO5,"AAAAADv/R4I=")</f>
        <v>#VALUE!</v>
      </c>
      <c r="EB2" t="e">
        <f>AND('2015'!AP5,"AAAAADv/R4M=")</f>
        <v>#VALUE!</v>
      </c>
      <c r="EC2" t="e">
        <f>AND('2015'!AQ5,"AAAAADv/R4Q=")</f>
        <v>#VALUE!</v>
      </c>
      <c r="ED2" t="e">
        <f>AND('2015'!AR5,"AAAAADv/R4U=")</f>
        <v>#VALUE!</v>
      </c>
      <c r="EE2" t="e">
        <f>AND('2015'!AS5,"AAAAADv/R4Y=")</f>
        <v>#VALUE!</v>
      </c>
      <c r="EF2" t="e">
        <f>AND('2015'!AT5,"AAAAADv/R4c=")</f>
        <v>#VALUE!</v>
      </c>
      <c r="EG2" t="e">
        <f>AND('2015'!#REF!,"AAAAADv/R4g=")</f>
        <v>#REF!</v>
      </c>
      <c r="EH2" t="e">
        <f>AND('2015'!AU5,"AAAAADv/R4k=")</f>
        <v>#VALUE!</v>
      </c>
      <c r="EI2" t="e">
        <f>AND('2015'!AV5,"AAAAADv/R4o=")</f>
        <v>#VALUE!</v>
      </c>
      <c r="EJ2" t="e">
        <f>AND('2015'!AW5,"AAAAADv/R4s=")</f>
        <v>#VALUE!</v>
      </c>
      <c r="EK2" t="e">
        <f>AND('2015'!AX5,"AAAAADv/R4w=")</f>
        <v>#VALUE!</v>
      </c>
      <c r="EL2" t="e">
        <f>AND('2015'!AY5,"AAAAADv/R40=")</f>
        <v>#VALUE!</v>
      </c>
      <c r="EM2" t="e">
        <f>AND('2015'!AZ5,"AAAAADv/R44=")</f>
        <v>#VALUE!</v>
      </c>
      <c r="EN2" t="e">
        <f>AND('2015'!BA5,"AAAAADv/R48=")</f>
        <v>#VALUE!</v>
      </c>
      <c r="EO2" t="e">
        <f>AND('2015'!BB5,"AAAAADv/R5A=")</f>
        <v>#VALUE!</v>
      </c>
      <c r="EP2" t="e">
        <f>AND('2015'!BC5,"AAAAADv/R5E=")</f>
        <v>#VALUE!</v>
      </c>
      <c r="EQ2" t="e">
        <f>AND('2015'!BD5,"AAAAADv/R5I=")</f>
        <v>#VALUE!</v>
      </c>
      <c r="ER2" t="e">
        <f>AND('2015'!BE5,"AAAAADv/R5M=")</f>
        <v>#VALUE!</v>
      </c>
      <c r="ES2" t="e">
        <f>AND('2015'!BF5,"AAAAADv/R5Q=")</f>
        <v>#VALUE!</v>
      </c>
      <c r="ET2" t="e">
        <f>AND('2015'!BG5,"AAAAADv/R5U=")</f>
        <v>#VALUE!</v>
      </c>
      <c r="EU2" t="e">
        <f>AND('2015'!BH5,"AAAAADv/R5Y=")</f>
        <v>#VALUE!</v>
      </c>
      <c r="EV2" t="e">
        <f>AND('2015'!BI5,"AAAAADv/R5c=")</f>
        <v>#VALUE!</v>
      </c>
      <c r="EW2" t="e">
        <f>AND('2015'!#REF!,"AAAAADv/R5g=")</f>
        <v>#REF!</v>
      </c>
      <c r="EX2" t="e">
        <f>AND('2015'!BJ5,"AAAAADv/R5k=")</f>
        <v>#VALUE!</v>
      </c>
      <c r="EY2" t="e">
        <f>AND('2015'!BK5,"AAAAADv/R5o=")</f>
        <v>#VALUE!</v>
      </c>
      <c r="EZ2" t="e">
        <f>AND('2015'!BL5,"AAAAADv/R5s=")</f>
        <v>#VALUE!</v>
      </c>
      <c r="FA2" t="e">
        <f>AND('2015'!BM5,"AAAAADv/R5w=")</f>
        <v>#VALUE!</v>
      </c>
      <c r="FB2" t="e">
        <f>AND('2015'!BY5,"AAAAADv/R50=")</f>
        <v>#VALUE!</v>
      </c>
      <c r="FC2">
        <f>IF('2015'!6:6,"AAAAADv/R54=",0)</f>
        <v>0</v>
      </c>
      <c r="FD2" t="e">
        <f>AND('2015'!A6,"AAAAADv/R58=")</f>
        <v>#VALUE!</v>
      </c>
      <c r="FE2" t="e">
        <f>AND('2015'!B6,"AAAAADv/R6A=")</f>
        <v>#VALUE!</v>
      </c>
      <c r="FF2" t="e">
        <f>AND('2015'!C6,"AAAAADv/R6E=")</f>
        <v>#VALUE!</v>
      </c>
      <c r="FG2" t="e">
        <f>AND('2015'!D6,"AAAAADv/R6I=")</f>
        <v>#VALUE!</v>
      </c>
      <c r="FH2" t="e">
        <f>AND('2015'!E6,"AAAAADv/R6M=")</f>
        <v>#VALUE!</v>
      </c>
      <c r="FI2" t="e">
        <f>AND('2015'!F6,"AAAAADv/R6Q=")</f>
        <v>#VALUE!</v>
      </c>
      <c r="FJ2" t="e">
        <f>AND('2015'!G6,"AAAAADv/R6U=")</f>
        <v>#VALUE!</v>
      </c>
      <c r="FK2" t="e">
        <f>AND('2015'!H6,"AAAAADv/R6Y=")</f>
        <v>#VALUE!</v>
      </c>
      <c r="FL2" t="e">
        <f>AND('2015'!I6,"AAAAADv/R6c=")</f>
        <v>#VALUE!</v>
      </c>
      <c r="FM2" t="e">
        <f>AND('2015'!J6,"AAAAADv/R6g=")</f>
        <v>#VALUE!</v>
      </c>
      <c r="FN2" t="e">
        <f>AND('2015'!K6,"AAAAADv/R6k=")</f>
        <v>#VALUE!</v>
      </c>
      <c r="FO2" t="e">
        <f>AND('2015'!L6,"AAAAADv/R6o=")</f>
        <v>#VALUE!</v>
      </c>
      <c r="FP2" t="e">
        <f>AND('2015'!M6,"AAAAADv/R6s=")</f>
        <v>#VALUE!</v>
      </c>
      <c r="FQ2" t="e">
        <f>AND('2015'!N6,"AAAAADv/R6w=")</f>
        <v>#VALUE!</v>
      </c>
      <c r="FR2" t="e">
        <f>AND('2015'!O6,"AAAAADv/R60=")</f>
        <v>#VALUE!</v>
      </c>
      <c r="FS2" t="e">
        <f>AND('2015'!P6,"AAAAADv/R64=")</f>
        <v>#VALUE!</v>
      </c>
      <c r="FT2" t="e">
        <f>AND('2015'!Q6,"AAAAADv/R68=")</f>
        <v>#VALUE!</v>
      </c>
      <c r="FU2" t="e">
        <f>AND('2015'!R6,"AAAAADv/R7A=")</f>
        <v>#VALUE!</v>
      </c>
      <c r="FV2" t="e">
        <f>AND('2015'!S6,"AAAAADv/R7E=")</f>
        <v>#VALUE!</v>
      </c>
      <c r="FW2" t="e">
        <f>AND('2015'!T6,"AAAAADv/R7I=")</f>
        <v>#VALUE!</v>
      </c>
      <c r="FX2" t="e">
        <f>AND('2015'!U6,"AAAAADv/R7M=")</f>
        <v>#VALUE!</v>
      </c>
      <c r="FY2" t="e">
        <f>AND('2015'!V6,"AAAAADv/R7Q=")</f>
        <v>#VALUE!</v>
      </c>
      <c r="FZ2" t="e">
        <f>AND('2015'!W6,"AAAAADv/R7U=")</f>
        <v>#VALUE!</v>
      </c>
      <c r="GA2" t="e">
        <f>AND('2015'!X6,"AAAAADv/R7Y=")</f>
        <v>#VALUE!</v>
      </c>
      <c r="GB2" t="e">
        <f>AND('2015'!Y6,"AAAAADv/R7c=")</f>
        <v>#VALUE!</v>
      </c>
      <c r="GC2" t="e">
        <f>AND('2015'!Z6,"AAAAADv/R7g=")</f>
        <v>#VALUE!</v>
      </c>
      <c r="GD2" t="e">
        <f>AND('2015'!AA6,"AAAAADv/R7k=")</f>
        <v>#VALUE!</v>
      </c>
      <c r="GE2" t="e">
        <f>AND('2015'!AB6,"AAAAADv/R7o=")</f>
        <v>#VALUE!</v>
      </c>
      <c r="GF2" t="e">
        <f>AND('2015'!AC6,"AAAAADv/R7s=")</f>
        <v>#VALUE!</v>
      </c>
      <c r="GG2" t="e">
        <f>AND('2015'!AD6,"AAAAADv/R7w=")</f>
        <v>#VALUE!</v>
      </c>
      <c r="GH2" t="e">
        <f>AND('2015'!AE6,"AAAAADv/R70=")</f>
        <v>#VALUE!</v>
      </c>
      <c r="GI2" t="e">
        <f>AND('2015'!AF6,"AAAAADv/R74=")</f>
        <v>#VALUE!</v>
      </c>
      <c r="GJ2" t="e">
        <f>AND('2015'!AG6,"AAAAADv/R78=")</f>
        <v>#VALUE!</v>
      </c>
      <c r="GK2" t="e">
        <f>AND('2015'!AH6,"AAAAADv/R8A=")</f>
        <v>#VALUE!</v>
      </c>
      <c r="GL2" t="e">
        <f>AND('2015'!AI6,"AAAAADv/R8E=")</f>
        <v>#VALUE!</v>
      </c>
      <c r="GM2" t="e">
        <f>AND('2015'!AJ6,"AAAAADv/R8I=")</f>
        <v>#VALUE!</v>
      </c>
      <c r="GN2" t="e">
        <f>AND('2015'!AK6,"AAAAADv/R8M=")</f>
        <v>#VALUE!</v>
      </c>
      <c r="GO2" t="e">
        <f>AND('2015'!AL6,"AAAAADv/R8Q=")</f>
        <v>#VALUE!</v>
      </c>
      <c r="GP2" t="e">
        <f>AND('2015'!AM6,"AAAAADv/R8U=")</f>
        <v>#VALUE!</v>
      </c>
      <c r="GQ2" t="e">
        <f>AND('2015'!AN6,"AAAAADv/R8Y=")</f>
        <v>#VALUE!</v>
      </c>
      <c r="GR2" t="e">
        <f>AND('2015'!AO6,"AAAAADv/R8c=")</f>
        <v>#VALUE!</v>
      </c>
      <c r="GS2" t="e">
        <f>AND('2015'!AP6,"AAAAADv/R8g=")</f>
        <v>#VALUE!</v>
      </c>
      <c r="GT2" t="e">
        <f>AND('2015'!AQ6,"AAAAADv/R8k=")</f>
        <v>#VALUE!</v>
      </c>
      <c r="GU2" t="e">
        <f>AND('2015'!AR6,"AAAAADv/R8o=")</f>
        <v>#VALUE!</v>
      </c>
      <c r="GV2" t="e">
        <f>AND('2015'!AS6,"AAAAADv/R8s=")</f>
        <v>#VALUE!</v>
      </c>
      <c r="GW2" t="e">
        <f>AND('2015'!AT6,"AAAAADv/R8w=")</f>
        <v>#VALUE!</v>
      </c>
      <c r="GX2" t="e">
        <f>AND('2015'!#REF!,"AAAAADv/R80=")</f>
        <v>#REF!</v>
      </c>
      <c r="GY2" t="e">
        <f>AND('2015'!AU6,"AAAAADv/R84=")</f>
        <v>#VALUE!</v>
      </c>
      <c r="GZ2" t="e">
        <f>AND('2015'!AV6,"AAAAADv/R88=")</f>
        <v>#VALUE!</v>
      </c>
      <c r="HA2" t="e">
        <f>AND('2015'!AW6,"AAAAADv/R9A=")</f>
        <v>#VALUE!</v>
      </c>
      <c r="HB2" t="e">
        <f>AND('2015'!AX6,"AAAAADv/R9E=")</f>
        <v>#VALUE!</v>
      </c>
      <c r="HC2" t="e">
        <f>AND('2015'!AY6,"AAAAADv/R9I=")</f>
        <v>#VALUE!</v>
      </c>
      <c r="HD2" t="e">
        <f>AND('2015'!AZ6,"AAAAADv/R9M=")</f>
        <v>#VALUE!</v>
      </c>
      <c r="HE2" t="e">
        <f>AND('2015'!BA6,"AAAAADv/R9Q=")</f>
        <v>#VALUE!</v>
      </c>
      <c r="HF2" t="e">
        <f>AND('2015'!BB6,"AAAAADv/R9U=")</f>
        <v>#VALUE!</v>
      </c>
      <c r="HG2" t="e">
        <f>AND('2015'!BC6,"AAAAADv/R9Y=")</f>
        <v>#VALUE!</v>
      </c>
      <c r="HH2" t="e">
        <f>AND('2015'!BD6,"AAAAADv/R9c=")</f>
        <v>#VALUE!</v>
      </c>
      <c r="HI2" t="e">
        <f>AND('2015'!BE6,"AAAAADv/R9g=")</f>
        <v>#VALUE!</v>
      </c>
      <c r="HJ2" t="e">
        <f>AND('2015'!BF6,"AAAAADv/R9k=")</f>
        <v>#VALUE!</v>
      </c>
      <c r="HK2" t="e">
        <f>AND('2015'!BG6,"AAAAADv/R9o=")</f>
        <v>#VALUE!</v>
      </c>
      <c r="HL2" t="e">
        <f>AND('2015'!BH6,"AAAAADv/R9s=")</f>
        <v>#VALUE!</v>
      </c>
      <c r="HM2" t="e">
        <f>AND('2015'!BI6,"AAAAADv/R9w=")</f>
        <v>#VALUE!</v>
      </c>
      <c r="HN2" t="e">
        <f>AND('2015'!#REF!,"AAAAADv/R90=")</f>
        <v>#REF!</v>
      </c>
      <c r="HO2" t="e">
        <f>AND('2015'!BJ6,"AAAAADv/R94=")</f>
        <v>#VALUE!</v>
      </c>
      <c r="HP2" t="e">
        <f>AND('2015'!BK6,"AAAAADv/R98=")</f>
        <v>#VALUE!</v>
      </c>
      <c r="HQ2" t="e">
        <f>AND('2015'!BL6,"AAAAADv/R+A=")</f>
        <v>#VALUE!</v>
      </c>
      <c r="HR2" t="e">
        <f>AND('2015'!BM6,"AAAAADv/R+E=")</f>
        <v>#VALUE!</v>
      </c>
      <c r="HS2" t="e">
        <f>AND('2015'!BY6,"AAAAADv/R+I=")</f>
        <v>#VALUE!</v>
      </c>
      <c r="HT2">
        <f>IF('2015'!7:7,"AAAAADv/R+M=",0)</f>
        <v>0</v>
      </c>
      <c r="HU2" t="e">
        <f>AND('2015'!A7,"AAAAADv/R+Q=")</f>
        <v>#VALUE!</v>
      </c>
      <c r="HV2" t="e">
        <f>AND('2015'!B7,"AAAAADv/R+U=")</f>
        <v>#VALUE!</v>
      </c>
      <c r="HW2" t="e">
        <f>AND('2015'!C7,"AAAAADv/R+Y=")</f>
        <v>#VALUE!</v>
      </c>
      <c r="HX2" t="e">
        <f>AND('2015'!D7,"AAAAADv/R+c=")</f>
        <v>#VALUE!</v>
      </c>
      <c r="HY2" t="e">
        <f>AND('2015'!E7,"AAAAADv/R+g=")</f>
        <v>#VALUE!</v>
      </c>
      <c r="HZ2" t="e">
        <f>AND('2015'!F7,"AAAAADv/R+k=")</f>
        <v>#VALUE!</v>
      </c>
      <c r="IA2" t="e">
        <f>AND('2015'!G7,"AAAAADv/R+o=")</f>
        <v>#VALUE!</v>
      </c>
      <c r="IB2" t="e">
        <f>AND('2015'!H7,"AAAAADv/R+s=")</f>
        <v>#VALUE!</v>
      </c>
      <c r="IC2" t="e">
        <f>AND('2015'!I7,"AAAAADv/R+w=")</f>
        <v>#VALUE!</v>
      </c>
      <c r="ID2" t="e">
        <f>AND('2015'!J7,"AAAAADv/R+0=")</f>
        <v>#VALUE!</v>
      </c>
      <c r="IE2" t="e">
        <f>AND('2015'!K7,"AAAAADv/R+4=")</f>
        <v>#VALUE!</v>
      </c>
      <c r="IF2" t="e">
        <f>AND('2015'!L7,"AAAAADv/R+8=")</f>
        <v>#VALUE!</v>
      </c>
      <c r="IG2" t="e">
        <f>AND('2015'!M7,"AAAAADv/R/A=")</f>
        <v>#VALUE!</v>
      </c>
      <c r="IH2" t="e">
        <f>AND('2015'!N7,"AAAAADv/R/E=")</f>
        <v>#VALUE!</v>
      </c>
      <c r="II2" t="e">
        <f>AND('2015'!O7,"AAAAADv/R/I=")</f>
        <v>#VALUE!</v>
      </c>
      <c r="IJ2" t="e">
        <f>AND('2015'!P7,"AAAAADv/R/M=")</f>
        <v>#VALUE!</v>
      </c>
      <c r="IK2" t="e">
        <f>AND('2015'!Q7,"AAAAADv/R/Q=")</f>
        <v>#VALUE!</v>
      </c>
      <c r="IL2" t="e">
        <f>AND('2015'!R7,"AAAAADv/R/U=")</f>
        <v>#VALUE!</v>
      </c>
      <c r="IM2" t="e">
        <f>AND('2015'!S7,"AAAAADv/R/Y=")</f>
        <v>#VALUE!</v>
      </c>
      <c r="IN2" t="e">
        <f>AND('2015'!T7,"AAAAADv/R/c=")</f>
        <v>#VALUE!</v>
      </c>
      <c r="IO2" t="e">
        <f>AND('2015'!U7,"AAAAADv/R/g=")</f>
        <v>#VALUE!</v>
      </c>
      <c r="IP2" t="e">
        <f>AND('2015'!V7,"AAAAADv/R/k=")</f>
        <v>#VALUE!</v>
      </c>
      <c r="IQ2" t="e">
        <f>AND('2015'!W7,"AAAAADv/R/o=")</f>
        <v>#VALUE!</v>
      </c>
      <c r="IR2" t="e">
        <f>AND('2015'!X7,"AAAAADv/R/s=")</f>
        <v>#VALUE!</v>
      </c>
      <c r="IS2" t="e">
        <f>AND('2015'!Y7,"AAAAADv/R/w=")</f>
        <v>#VALUE!</v>
      </c>
      <c r="IT2" t="e">
        <f>AND('2015'!Z7,"AAAAADv/R/0=")</f>
        <v>#VALUE!</v>
      </c>
      <c r="IU2" t="e">
        <f>AND('2015'!AA7,"AAAAADv/R/4=")</f>
        <v>#VALUE!</v>
      </c>
      <c r="IV2" t="e">
        <f>AND('2015'!AB7,"AAAAADv/R/8=")</f>
        <v>#VALUE!</v>
      </c>
    </row>
    <row r="3" spans="1:256" x14ac:dyDescent="0.25">
      <c r="A3" t="e">
        <f>AND('2015'!AC7,"AAAAAH/37wA=")</f>
        <v>#VALUE!</v>
      </c>
      <c r="B3" t="e">
        <f>AND('2015'!AD7,"AAAAAH/37wE=")</f>
        <v>#VALUE!</v>
      </c>
      <c r="C3" t="e">
        <f>AND('2015'!AE7,"AAAAAH/37wI=")</f>
        <v>#VALUE!</v>
      </c>
      <c r="D3" t="e">
        <f>AND('2015'!AF7,"AAAAAH/37wM=")</f>
        <v>#VALUE!</v>
      </c>
      <c r="E3" t="e">
        <f>AND('2015'!AG7,"AAAAAH/37wQ=")</f>
        <v>#VALUE!</v>
      </c>
      <c r="F3" t="e">
        <f>AND('2015'!AH7,"AAAAAH/37wU=")</f>
        <v>#VALUE!</v>
      </c>
      <c r="G3" t="e">
        <f>AND('2015'!AI7,"AAAAAH/37wY=")</f>
        <v>#VALUE!</v>
      </c>
      <c r="H3" t="e">
        <f>AND('2015'!AJ7,"AAAAAH/37wc=")</f>
        <v>#VALUE!</v>
      </c>
      <c r="I3" t="e">
        <f>AND('2015'!AK7,"AAAAAH/37wg=")</f>
        <v>#VALUE!</v>
      </c>
      <c r="J3" t="e">
        <f>AND('2015'!AL7,"AAAAAH/37wk=")</f>
        <v>#VALUE!</v>
      </c>
      <c r="K3" t="e">
        <f>AND('2015'!AM7,"AAAAAH/37wo=")</f>
        <v>#VALUE!</v>
      </c>
      <c r="L3" t="e">
        <f>AND('2015'!AN7,"AAAAAH/37ws=")</f>
        <v>#VALUE!</v>
      </c>
      <c r="M3" t="e">
        <f>AND('2015'!AO7,"AAAAAH/37ww=")</f>
        <v>#VALUE!</v>
      </c>
      <c r="N3" t="e">
        <f>AND('2015'!AP7,"AAAAAH/37w0=")</f>
        <v>#VALUE!</v>
      </c>
      <c r="O3" t="e">
        <f>AND('2015'!AQ7,"AAAAAH/37w4=")</f>
        <v>#VALUE!</v>
      </c>
      <c r="P3" t="e">
        <f>AND('2015'!AR7,"AAAAAH/37w8=")</f>
        <v>#VALUE!</v>
      </c>
      <c r="Q3" t="e">
        <f>AND('2015'!AS7,"AAAAAH/37xA=")</f>
        <v>#VALUE!</v>
      </c>
      <c r="R3" t="e">
        <f>AND('2015'!AT7,"AAAAAH/37xE=")</f>
        <v>#VALUE!</v>
      </c>
      <c r="S3" t="e">
        <f>AND('2015'!#REF!,"AAAAAH/37xI=")</f>
        <v>#REF!</v>
      </c>
      <c r="T3" t="e">
        <f>AND('2015'!AU7,"AAAAAH/37xM=")</f>
        <v>#VALUE!</v>
      </c>
      <c r="U3" t="e">
        <f>AND('2015'!AV7,"AAAAAH/37xQ=")</f>
        <v>#VALUE!</v>
      </c>
      <c r="V3" t="e">
        <f>AND('2015'!AW7,"AAAAAH/37xU=")</f>
        <v>#VALUE!</v>
      </c>
      <c r="W3" t="e">
        <f>AND('2015'!AX7,"AAAAAH/37xY=")</f>
        <v>#VALUE!</v>
      </c>
      <c r="X3" t="e">
        <f>AND('2015'!AY7,"AAAAAH/37xc=")</f>
        <v>#VALUE!</v>
      </c>
      <c r="Y3" t="e">
        <f>AND('2015'!AZ7,"AAAAAH/37xg=")</f>
        <v>#VALUE!</v>
      </c>
      <c r="Z3" t="e">
        <f>AND('2015'!BA7,"AAAAAH/37xk=")</f>
        <v>#VALUE!</v>
      </c>
      <c r="AA3" t="e">
        <f>AND('2015'!BB7,"AAAAAH/37xo=")</f>
        <v>#VALUE!</v>
      </c>
      <c r="AB3" t="e">
        <f>AND('2015'!BC7,"AAAAAH/37xs=")</f>
        <v>#VALUE!</v>
      </c>
      <c r="AC3" t="e">
        <f>AND('2015'!BD7,"AAAAAH/37xw=")</f>
        <v>#VALUE!</v>
      </c>
      <c r="AD3" t="e">
        <f>AND('2015'!BE7,"AAAAAH/37x0=")</f>
        <v>#VALUE!</v>
      </c>
      <c r="AE3" t="e">
        <f>AND('2015'!BF7,"AAAAAH/37x4=")</f>
        <v>#VALUE!</v>
      </c>
      <c r="AF3" t="e">
        <f>AND('2015'!BG7,"AAAAAH/37x8=")</f>
        <v>#VALUE!</v>
      </c>
      <c r="AG3" t="e">
        <f>AND('2015'!BH7,"AAAAAH/37yA=")</f>
        <v>#VALUE!</v>
      </c>
      <c r="AH3" t="e">
        <f>AND('2015'!BI7,"AAAAAH/37yE=")</f>
        <v>#VALUE!</v>
      </c>
      <c r="AI3" t="e">
        <f>AND('2015'!#REF!,"AAAAAH/37yI=")</f>
        <v>#REF!</v>
      </c>
      <c r="AJ3" t="e">
        <f>AND('2015'!BJ7,"AAAAAH/37yM=")</f>
        <v>#VALUE!</v>
      </c>
      <c r="AK3" t="e">
        <f>AND('2015'!BK7,"AAAAAH/37yQ=")</f>
        <v>#VALUE!</v>
      </c>
      <c r="AL3" t="e">
        <f>AND('2015'!BL7,"AAAAAH/37yU=")</f>
        <v>#VALUE!</v>
      </c>
      <c r="AM3" t="e">
        <f>AND('2015'!BM7,"AAAAAH/37yY=")</f>
        <v>#VALUE!</v>
      </c>
      <c r="AN3" t="e">
        <f>AND('2015'!BY7,"AAAAAH/37yc=")</f>
        <v>#VALUE!</v>
      </c>
      <c r="AO3">
        <f>IF('2015'!8:8,"AAAAAH/37yg=",0)</f>
        <v>0</v>
      </c>
      <c r="AP3" t="e">
        <f>AND('2015'!A8,"AAAAAH/37yk=")</f>
        <v>#VALUE!</v>
      </c>
      <c r="AQ3" t="e">
        <f>AND('2015'!#REF!,"AAAAAH/37yo=")</f>
        <v>#REF!</v>
      </c>
      <c r="AR3" t="e">
        <f>AND('2015'!#REF!,"AAAAAH/37ys=")</f>
        <v>#REF!</v>
      </c>
      <c r="AS3" t="e">
        <f>AND('2015'!#REF!,"AAAAAH/37yw=")</f>
        <v>#REF!</v>
      </c>
      <c r="AT3" t="e">
        <f>AND('2015'!#REF!,"AAAAAH/37y0=")</f>
        <v>#REF!</v>
      </c>
      <c r="AU3" t="e">
        <f>AND('2015'!#REF!,"AAAAAH/37y4=")</f>
        <v>#REF!</v>
      </c>
      <c r="AV3" t="e">
        <f>AND('2015'!G8,"AAAAAH/37y8=")</f>
        <v>#VALUE!</v>
      </c>
      <c r="AW3" t="e">
        <f>AND('2015'!H8,"AAAAAH/37zA=")</f>
        <v>#VALUE!</v>
      </c>
      <c r="AX3" t="e">
        <f>AND('2015'!I8,"AAAAAH/37zE=")</f>
        <v>#VALUE!</v>
      </c>
      <c r="AY3" t="e">
        <f>AND('2015'!J8,"AAAAAH/37zI=")</f>
        <v>#VALUE!</v>
      </c>
      <c r="AZ3" t="e">
        <f>AND('2015'!K8,"AAAAAH/37zM=")</f>
        <v>#VALUE!</v>
      </c>
      <c r="BA3" t="e">
        <f>AND('2015'!L8,"AAAAAH/37zQ=")</f>
        <v>#VALUE!</v>
      </c>
      <c r="BB3" t="e">
        <f>AND('2015'!M8,"AAAAAH/37zU=")</f>
        <v>#VALUE!</v>
      </c>
      <c r="BC3" t="e">
        <f>AND('2015'!N8,"AAAAAH/37zY=")</f>
        <v>#VALUE!</v>
      </c>
      <c r="BD3" t="e">
        <f>AND('2015'!O8,"AAAAAH/37zc=")</f>
        <v>#VALUE!</v>
      </c>
      <c r="BE3" t="e">
        <f>AND('2015'!P8,"AAAAAH/37zg=")</f>
        <v>#VALUE!</v>
      </c>
      <c r="BF3" t="e">
        <f>AND('2015'!Q8,"AAAAAH/37zk=")</f>
        <v>#VALUE!</v>
      </c>
      <c r="BG3" t="e">
        <f>AND('2015'!R8,"AAAAAH/37zo=")</f>
        <v>#VALUE!</v>
      </c>
      <c r="BH3" t="e">
        <f>AND('2015'!S8,"AAAAAH/37zs=")</f>
        <v>#VALUE!</v>
      </c>
      <c r="BI3" t="e">
        <f>AND('2015'!T8,"AAAAAH/37zw=")</f>
        <v>#VALUE!</v>
      </c>
      <c r="BJ3" t="e">
        <f>AND('2015'!U8,"AAAAAH/37z0=")</f>
        <v>#VALUE!</v>
      </c>
      <c r="BK3" t="e">
        <f>AND('2015'!V8,"AAAAAH/37z4=")</f>
        <v>#VALUE!</v>
      </c>
      <c r="BL3" t="e">
        <f>AND('2015'!W8,"AAAAAH/37z8=")</f>
        <v>#VALUE!</v>
      </c>
      <c r="BM3" t="e">
        <f>AND('2015'!X8,"AAAAAH/370A=")</f>
        <v>#VALUE!</v>
      </c>
      <c r="BN3" t="e">
        <f>AND('2015'!Y8,"AAAAAH/370E=")</f>
        <v>#VALUE!</v>
      </c>
      <c r="BO3" t="e">
        <f>AND('2015'!Z8,"AAAAAH/370I=")</f>
        <v>#VALUE!</v>
      </c>
      <c r="BP3" t="e">
        <f>AND('2015'!AA8,"AAAAAH/370M=")</f>
        <v>#VALUE!</v>
      </c>
      <c r="BQ3" t="e">
        <f>AND('2015'!AB8,"AAAAAH/370Q=")</f>
        <v>#VALUE!</v>
      </c>
      <c r="BR3" t="e">
        <f>AND('2015'!AC8,"AAAAAH/370U=")</f>
        <v>#VALUE!</v>
      </c>
      <c r="BS3" t="e">
        <f>AND('2015'!AD8,"AAAAAH/370Y=")</f>
        <v>#VALUE!</v>
      </c>
      <c r="BT3" t="e">
        <f>AND('2015'!AE8,"AAAAAH/370c=")</f>
        <v>#VALUE!</v>
      </c>
      <c r="BU3" t="e">
        <f>AND('2015'!AF8,"AAAAAH/370g=")</f>
        <v>#VALUE!</v>
      </c>
      <c r="BV3" t="e">
        <f>AND('2015'!AG8,"AAAAAH/370k=")</f>
        <v>#VALUE!</v>
      </c>
      <c r="BW3" t="e">
        <f>AND('2015'!AH8,"AAAAAH/370o=")</f>
        <v>#VALUE!</v>
      </c>
      <c r="BX3" t="e">
        <f>AND('2015'!AI8,"AAAAAH/370s=")</f>
        <v>#VALUE!</v>
      </c>
      <c r="BY3" t="e">
        <f>AND('2015'!AJ8,"AAAAAH/370w=")</f>
        <v>#VALUE!</v>
      </c>
      <c r="BZ3" t="e">
        <f>AND('2015'!AK8,"AAAAAH/3700=")</f>
        <v>#VALUE!</v>
      </c>
      <c r="CA3" t="e">
        <f>AND('2015'!AL8,"AAAAAH/3704=")</f>
        <v>#VALUE!</v>
      </c>
      <c r="CB3" t="e">
        <f>AND('2015'!AM8,"AAAAAH/3708=")</f>
        <v>#VALUE!</v>
      </c>
      <c r="CC3" t="e">
        <f>AND('2015'!AN8,"AAAAAH/371A=")</f>
        <v>#VALUE!</v>
      </c>
      <c r="CD3" t="e">
        <f>AND('2015'!AO8,"AAAAAH/371E=")</f>
        <v>#VALUE!</v>
      </c>
      <c r="CE3" t="e">
        <f>AND('2015'!AP8,"AAAAAH/371I=")</f>
        <v>#VALUE!</v>
      </c>
      <c r="CF3" t="e">
        <f>AND('2015'!AQ8,"AAAAAH/371M=")</f>
        <v>#VALUE!</v>
      </c>
      <c r="CG3" t="e">
        <f>AND('2015'!AR8,"AAAAAH/371Q=")</f>
        <v>#VALUE!</v>
      </c>
      <c r="CH3" t="e">
        <f>AND('2015'!AS8,"AAAAAH/371U=")</f>
        <v>#VALUE!</v>
      </c>
      <c r="CI3" t="e">
        <f>AND('2015'!AT8,"AAAAAH/371Y=")</f>
        <v>#VALUE!</v>
      </c>
      <c r="CJ3" t="e">
        <f>AND('2015'!#REF!,"AAAAAH/371c=")</f>
        <v>#REF!</v>
      </c>
      <c r="CK3" t="e">
        <f>AND('2015'!AU8,"AAAAAH/371g=")</f>
        <v>#VALUE!</v>
      </c>
      <c r="CL3" t="e">
        <f>AND('2015'!AV8,"AAAAAH/371k=")</f>
        <v>#VALUE!</v>
      </c>
      <c r="CM3" t="e">
        <f>AND('2015'!AW8,"AAAAAH/371o=")</f>
        <v>#VALUE!</v>
      </c>
      <c r="CN3" t="e">
        <f>AND('2015'!AX8,"AAAAAH/371s=")</f>
        <v>#VALUE!</v>
      </c>
      <c r="CO3" t="e">
        <f>AND('2015'!AY8,"AAAAAH/371w=")</f>
        <v>#VALUE!</v>
      </c>
      <c r="CP3" t="e">
        <f>AND('2015'!AZ8,"AAAAAH/3710=")</f>
        <v>#VALUE!</v>
      </c>
      <c r="CQ3" t="e">
        <f>AND('2015'!BA8,"AAAAAH/3714=")</f>
        <v>#VALUE!</v>
      </c>
      <c r="CR3" t="e">
        <f>AND('2015'!BB8,"AAAAAH/3718=")</f>
        <v>#VALUE!</v>
      </c>
      <c r="CS3" t="e">
        <f>AND('2015'!BC8,"AAAAAH/372A=")</f>
        <v>#VALUE!</v>
      </c>
      <c r="CT3" t="e">
        <f>AND('2015'!BD8,"AAAAAH/372E=")</f>
        <v>#VALUE!</v>
      </c>
      <c r="CU3" t="e">
        <f>AND('2015'!BE8,"AAAAAH/372I=")</f>
        <v>#VALUE!</v>
      </c>
      <c r="CV3" t="e">
        <f>AND('2015'!BF8,"AAAAAH/372M=")</f>
        <v>#VALUE!</v>
      </c>
      <c r="CW3" t="e">
        <f>AND('2015'!BG8,"AAAAAH/372Q=")</f>
        <v>#VALUE!</v>
      </c>
      <c r="CX3" t="e">
        <f>AND('2015'!BH8,"AAAAAH/372U=")</f>
        <v>#VALUE!</v>
      </c>
      <c r="CY3" t="e">
        <f>AND('2015'!BI8,"AAAAAH/372Y=")</f>
        <v>#VALUE!</v>
      </c>
      <c r="CZ3" t="e">
        <f>AND('2015'!#REF!,"AAAAAH/372c=")</f>
        <v>#REF!</v>
      </c>
      <c r="DA3" t="e">
        <f>AND('2015'!BJ8,"AAAAAH/372g=")</f>
        <v>#VALUE!</v>
      </c>
      <c r="DB3" t="e">
        <f>AND('2015'!BK8,"AAAAAH/372k=")</f>
        <v>#VALUE!</v>
      </c>
      <c r="DC3" t="e">
        <f>AND('2015'!BL8,"AAAAAH/372o=")</f>
        <v>#VALUE!</v>
      </c>
      <c r="DD3" t="e">
        <f>AND('2015'!BM8,"AAAAAH/372s=")</f>
        <v>#VALUE!</v>
      </c>
      <c r="DE3" t="e">
        <f>AND('2015'!BY8,"AAAAAH/372w=")</f>
        <v>#VALUE!</v>
      </c>
      <c r="DF3">
        <f>IF('2015'!9:9,"AAAAAH/3720=",0)</f>
        <v>0</v>
      </c>
      <c r="DG3" t="e">
        <f>AND('2015'!A9,"AAAAAH/3724=")</f>
        <v>#VALUE!</v>
      </c>
      <c r="DH3" t="e">
        <f>AND('2015'!B13,"AAAAAH/3728=")</f>
        <v>#VALUE!</v>
      </c>
      <c r="DI3" t="e">
        <f>AND('2015'!C13,"AAAAAH/373A=")</f>
        <v>#VALUE!</v>
      </c>
      <c r="DJ3" t="e">
        <f>AND('2015'!D13,"AAAAAH/373E=")</f>
        <v>#VALUE!</v>
      </c>
      <c r="DK3" t="e">
        <f>AND('2015'!E13,"AAAAAH/373I=")</f>
        <v>#VALUE!</v>
      </c>
      <c r="DL3" t="e">
        <f>AND('2015'!F13,"AAAAAH/373M=")</f>
        <v>#VALUE!</v>
      </c>
      <c r="DM3" t="e">
        <f>AND('2015'!G9,"AAAAAH/373Q=")</f>
        <v>#VALUE!</v>
      </c>
      <c r="DN3" t="e">
        <f>AND('2015'!H9,"AAAAAH/373U=")</f>
        <v>#VALUE!</v>
      </c>
      <c r="DO3" t="e">
        <f>AND('2015'!I9,"AAAAAH/373Y=")</f>
        <v>#VALUE!</v>
      </c>
      <c r="DP3" t="e">
        <f>AND('2015'!J9,"AAAAAH/373c=")</f>
        <v>#VALUE!</v>
      </c>
      <c r="DQ3" t="e">
        <f>AND('2015'!K9,"AAAAAH/373g=")</f>
        <v>#VALUE!</v>
      </c>
      <c r="DR3" t="e">
        <f>AND('2015'!L9,"AAAAAH/373k=")</f>
        <v>#VALUE!</v>
      </c>
      <c r="DS3" t="e">
        <f>AND('2015'!M9,"AAAAAH/373o=")</f>
        <v>#VALUE!</v>
      </c>
      <c r="DT3" t="e">
        <f>AND('2015'!N9,"AAAAAH/373s=")</f>
        <v>#VALUE!</v>
      </c>
      <c r="DU3" t="e">
        <f>AND('2015'!O9,"AAAAAH/373w=")</f>
        <v>#VALUE!</v>
      </c>
      <c r="DV3" t="e">
        <f>AND('2015'!P9,"AAAAAH/3730=")</f>
        <v>#VALUE!</v>
      </c>
      <c r="DW3" t="e">
        <f>AND('2015'!Q9,"AAAAAH/3734=")</f>
        <v>#VALUE!</v>
      </c>
      <c r="DX3" t="e">
        <f>AND('2015'!R9,"AAAAAH/3738=")</f>
        <v>#VALUE!</v>
      </c>
      <c r="DY3" t="e">
        <f>AND('2015'!S9,"AAAAAH/374A=")</f>
        <v>#VALUE!</v>
      </c>
      <c r="DZ3" t="e">
        <f>AND('2015'!T9,"AAAAAH/374E=")</f>
        <v>#VALUE!</v>
      </c>
      <c r="EA3" t="e">
        <f>AND('2015'!U9,"AAAAAH/374I=")</f>
        <v>#VALUE!</v>
      </c>
      <c r="EB3" t="e">
        <f>AND('2015'!V9,"AAAAAH/374M=")</f>
        <v>#VALUE!</v>
      </c>
      <c r="EC3" t="e">
        <f>AND('2015'!W9,"AAAAAH/374Q=")</f>
        <v>#VALUE!</v>
      </c>
      <c r="ED3" t="e">
        <f>AND('2015'!X9,"AAAAAH/374U=")</f>
        <v>#VALUE!</v>
      </c>
      <c r="EE3" t="e">
        <f>AND('2015'!Y9,"AAAAAH/374Y=")</f>
        <v>#VALUE!</v>
      </c>
      <c r="EF3" t="e">
        <f>AND('2015'!Z9,"AAAAAH/374c=")</f>
        <v>#VALUE!</v>
      </c>
      <c r="EG3" t="e">
        <f>AND('2015'!AA9,"AAAAAH/374g=")</f>
        <v>#VALUE!</v>
      </c>
      <c r="EH3" t="e">
        <f>AND('2015'!AB9,"AAAAAH/374k=")</f>
        <v>#VALUE!</v>
      </c>
      <c r="EI3" t="e">
        <f>AND('2015'!AC9,"AAAAAH/374o=")</f>
        <v>#VALUE!</v>
      </c>
      <c r="EJ3" t="e">
        <f>AND('2015'!AD9,"AAAAAH/374s=")</f>
        <v>#VALUE!</v>
      </c>
      <c r="EK3" t="e">
        <f>AND('2015'!AE9,"AAAAAH/374w=")</f>
        <v>#VALUE!</v>
      </c>
      <c r="EL3" t="e">
        <f>AND('2015'!AF9,"AAAAAH/3740=")</f>
        <v>#VALUE!</v>
      </c>
      <c r="EM3" t="e">
        <f>AND('2015'!AG9,"AAAAAH/3744=")</f>
        <v>#VALUE!</v>
      </c>
      <c r="EN3" t="e">
        <f>AND('2015'!AH9,"AAAAAH/3748=")</f>
        <v>#VALUE!</v>
      </c>
      <c r="EO3" t="e">
        <f>AND('2015'!AI9,"AAAAAH/375A=")</f>
        <v>#VALUE!</v>
      </c>
      <c r="EP3" t="e">
        <f>AND('2015'!AJ9,"AAAAAH/375E=")</f>
        <v>#VALUE!</v>
      </c>
      <c r="EQ3" t="e">
        <f>AND('2015'!AK9,"AAAAAH/375I=")</f>
        <v>#VALUE!</v>
      </c>
      <c r="ER3" t="e">
        <f>AND('2015'!AL9,"AAAAAH/375M=")</f>
        <v>#VALUE!</v>
      </c>
      <c r="ES3" t="e">
        <f>AND('2015'!AM9,"AAAAAH/375Q=")</f>
        <v>#VALUE!</v>
      </c>
      <c r="ET3" t="e">
        <f>AND('2015'!AN9,"AAAAAH/375U=")</f>
        <v>#VALUE!</v>
      </c>
      <c r="EU3" t="e">
        <f>AND('2015'!AO9,"AAAAAH/375Y=")</f>
        <v>#VALUE!</v>
      </c>
      <c r="EV3" t="e">
        <f>AND('2015'!AP9,"AAAAAH/375c=")</f>
        <v>#VALUE!</v>
      </c>
      <c r="EW3" t="e">
        <f>AND('2015'!AQ9,"AAAAAH/375g=")</f>
        <v>#VALUE!</v>
      </c>
      <c r="EX3" t="e">
        <f>AND('2015'!AR9,"AAAAAH/375k=")</f>
        <v>#VALUE!</v>
      </c>
      <c r="EY3" t="e">
        <f>AND('2015'!AS9,"AAAAAH/375o=")</f>
        <v>#VALUE!</v>
      </c>
      <c r="EZ3" t="e">
        <f>AND('2015'!AT9,"AAAAAH/375s=")</f>
        <v>#VALUE!</v>
      </c>
      <c r="FA3" t="e">
        <f>AND('2015'!#REF!,"AAAAAH/375w=")</f>
        <v>#REF!</v>
      </c>
      <c r="FB3" t="e">
        <f>AND('2015'!AU9,"AAAAAH/3750=")</f>
        <v>#VALUE!</v>
      </c>
      <c r="FC3" t="e">
        <f>AND('2015'!AV9,"AAAAAH/3754=")</f>
        <v>#VALUE!</v>
      </c>
      <c r="FD3" t="e">
        <f>AND('2015'!AW9,"AAAAAH/3758=")</f>
        <v>#VALUE!</v>
      </c>
      <c r="FE3" t="e">
        <f>AND('2015'!AX9,"AAAAAH/376A=")</f>
        <v>#VALUE!</v>
      </c>
      <c r="FF3" t="e">
        <f>AND('2015'!AY9,"AAAAAH/376E=")</f>
        <v>#VALUE!</v>
      </c>
      <c r="FG3" t="e">
        <f>AND('2015'!AZ9,"AAAAAH/376I=")</f>
        <v>#VALUE!</v>
      </c>
      <c r="FH3" t="e">
        <f>AND('2015'!BA9,"AAAAAH/376M=")</f>
        <v>#VALUE!</v>
      </c>
      <c r="FI3" t="e">
        <f>AND('2015'!BB9,"AAAAAH/376Q=")</f>
        <v>#VALUE!</v>
      </c>
      <c r="FJ3" t="e">
        <f>AND('2015'!BC9,"AAAAAH/376U=")</f>
        <v>#VALUE!</v>
      </c>
      <c r="FK3" t="e">
        <f>AND('2015'!BD9,"AAAAAH/376Y=")</f>
        <v>#VALUE!</v>
      </c>
      <c r="FL3" t="e">
        <f>AND('2015'!BE9,"AAAAAH/376c=")</f>
        <v>#VALUE!</v>
      </c>
      <c r="FM3" t="e">
        <f>AND('2015'!BF9,"AAAAAH/376g=")</f>
        <v>#VALUE!</v>
      </c>
      <c r="FN3" t="e">
        <f>AND('2015'!BG9,"AAAAAH/376k=")</f>
        <v>#VALUE!</v>
      </c>
      <c r="FO3" t="e">
        <f>AND('2015'!BH9,"AAAAAH/376o=")</f>
        <v>#VALUE!</v>
      </c>
      <c r="FP3" t="e">
        <f>AND('2015'!BI9,"AAAAAH/376s=")</f>
        <v>#VALUE!</v>
      </c>
      <c r="FQ3" t="e">
        <f>AND('2015'!#REF!,"AAAAAH/376w=")</f>
        <v>#REF!</v>
      </c>
      <c r="FR3" t="e">
        <f>AND('2015'!BJ9,"AAAAAH/3760=")</f>
        <v>#VALUE!</v>
      </c>
      <c r="FS3" t="e">
        <f>AND('2015'!BK9,"AAAAAH/3764=")</f>
        <v>#VALUE!</v>
      </c>
      <c r="FT3" t="e">
        <f>AND('2015'!BL9,"AAAAAH/3768=")</f>
        <v>#VALUE!</v>
      </c>
      <c r="FU3" t="e">
        <f>AND('2015'!BM9,"AAAAAH/377A=")</f>
        <v>#VALUE!</v>
      </c>
      <c r="FV3" t="e">
        <f>AND('2015'!BY9,"AAAAAH/377E=")</f>
        <v>#VALUE!</v>
      </c>
      <c r="FW3">
        <f>IF('2015'!10:10,"AAAAAH/377I=",0)</f>
        <v>0</v>
      </c>
      <c r="FX3" t="e">
        <f>AND('2015'!A10,"AAAAAH/377M=")</f>
        <v>#VALUE!</v>
      </c>
      <c r="FY3" t="e">
        <f>AND('2015'!B10,"AAAAAH/377Q=")</f>
        <v>#VALUE!</v>
      </c>
      <c r="FZ3" t="e">
        <f>AND('2015'!C10,"AAAAAH/377U=")</f>
        <v>#VALUE!</v>
      </c>
      <c r="GA3" t="e">
        <f>AND('2015'!D10,"AAAAAH/377Y=")</f>
        <v>#VALUE!</v>
      </c>
      <c r="GB3" t="e">
        <f>AND('2015'!E10,"AAAAAH/377c=")</f>
        <v>#VALUE!</v>
      </c>
      <c r="GC3" t="e">
        <f>AND('2015'!F10,"AAAAAH/377g=")</f>
        <v>#VALUE!</v>
      </c>
      <c r="GD3" t="e">
        <f>AND('2015'!G10,"AAAAAH/377k=")</f>
        <v>#VALUE!</v>
      </c>
      <c r="GE3" t="e">
        <f>AND('2015'!H10,"AAAAAH/377o=")</f>
        <v>#VALUE!</v>
      </c>
      <c r="GF3" t="e">
        <f>AND('2015'!I10,"AAAAAH/377s=")</f>
        <v>#VALUE!</v>
      </c>
      <c r="GG3" t="e">
        <f>AND('2015'!J10,"AAAAAH/377w=")</f>
        <v>#VALUE!</v>
      </c>
      <c r="GH3" t="e">
        <f>AND('2015'!K10,"AAAAAH/3770=")</f>
        <v>#VALUE!</v>
      </c>
      <c r="GI3" t="e">
        <f>AND('2015'!L10,"AAAAAH/3774=")</f>
        <v>#VALUE!</v>
      </c>
      <c r="GJ3" t="e">
        <f>AND('2015'!M10,"AAAAAH/3778=")</f>
        <v>#VALUE!</v>
      </c>
      <c r="GK3" t="e">
        <f>AND('2015'!N10,"AAAAAH/378A=")</f>
        <v>#VALUE!</v>
      </c>
      <c r="GL3" t="e">
        <f>AND('2015'!O10,"AAAAAH/378E=")</f>
        <v>#VALUE!</v>
      </c>
      <c r="GM3" t="e">
        <f>AND('2015'!P10,"AAAAAH/378I=")</f>
        <v>#VALUE!</v>
      </c>
      <c r="GN3" t="e">
        <f>AND('2015'!Q10,"AAAAAH/378M=")</f>
        <v>#VALUE!</v>
      </c>
      <c r="GO3" t="e">
        <f>AND('2015'!R10,"AAAAAH/378Q=")</f>
        <v>#VALUE!</v>
      </c>
      <c r="GP3" t="e">
        <f>AND('2015'!S10,"AAAAAH/378U=")</f>
        <v>#VALUE!</v>
      </c>
      <c r="GQ3" t="e">
        <f>AND('2015'!T10,"AAAAAH/378Y=")</f>
        <v>#VALUE!</v>
      </c>
      <c r="GR3" t="e">
        <f>AND('2015'!U10,"AAAAAH/378c=")</f>
        <v>#VALUE!</v>
      </c>
      <c r="GS3" t="e">
        <f>AND('2015'!V10,"AAAAAH/378g=")</f>
        <v>#VALUE!</v>
      </c>
      <c r="GT3" t="e">
        <f>AND('2015'!W10,"AAAAAH/378k=")</f>
        <v>#VALUE!</v>
      </c>
      <c r="GU3" t="e">
        <f>AND('2015'!X10,"AAAAAH/378o=")</f>
        <v>#VALUE!</v>
      </c>
      <c r="GV3" t="e">
        <f>AND('2015'!Y10,"AAAAAH/378s=")</f>
        <v>#VALUE!</v>
      </c>
      <c r="GW3" t="e">
        <f>AND('2015'!Z10,"AAAAAH/378w=")</f>
        <v>#VALUE!</v>
      </c>
      <c r="GX3" t="e">
        <f>AND('2015'!AA10,"AAAAAH/3780=")</f>
        <v>#VALUE!</v>
      </c>
      <c r="GY3" t="e">
        <f>AND('2015'!AB10,"AAAAAH/3784=")</f>
        <v>#VALUE!</v>
      </c>
      <c r="GZ3" t="e">
        <f>AND('2015'!AC10,"AAAAAH/3788=")</f>
        <v>#VALUE!</v>
      </c>
      <c r="HA3" t="e">
        <f>AND('2015'!AD10,"AAAAAH/379A=")</f>
        <v>#VALUE!</v>
      </c>
      <c r="HB3" t="e">
        <f>AND('2015'!AE10,"AAAAAH/379E=")</f>
        <v>#VALUE!</v>
      </c>
      <c r="HC3" t="e">
        <f>AND('2015'!AF10,"AAAAAH/379I=")</f>
        <v>#VALUE!</v>
      </c>
      <c r="HD3" t="e">
        <f>AND('2015'!AG10,"AAAAAH/379M=")</f>
        <v>#VALUE!</v>
      </c>
      <c r="HE3" t="e">
        <f>AND('2015'!AH10,"AAAAAH/379Q=")</f>
        <v>#VALUE!</v>
      </c>
      <c r="HF3" t="e">
        <f>AND('2015'!AI10,"AAAAAH/379U=")</f>
        <v>#VALUE!</v>
      </c>
      <c r="HG3" t="e">
        <f>AND('2015'!AJ10,"AAAAAH/379Y=")</f>
        <v>#VALUE!</v>
      </c>
      <c r="HH3" t="e">
        <f>AND('2015'!AK10,"AAAAAH/379c=")</f>
        <v>#VALUE!</v>
      </c>
      <c r="HI3" t="e">
        <f>AND('2015'!AL10,"AAAAAH/379g=")</f>
        <v>#VALUE!</v>
      </c>
      <c r="HJ3" t="e">
        <f>AND('2015'!AM10,"AAAAAH/379k=")</f>
        <v>#VALUE!</v>
      </c>
      <c r="HK3" t="e">
        <f>AND('2015'!AN10,"AAAAAH/379o=")</f>
        <v>#VALUE!</v>
      </c>
      <c r="HL3" t="e">
        <f>AND('2015'!AO10,"AAAAAH/379s=")</f>
        <v>#VALUE!</v>
      </c>
      <c r="HM3" t="e">
        <f>AND('2015'!AP10,"AAAAAH/379w=")</f>
        <v>#VALUE!</v>
      </c>
      <c r="HN3" t="e">
        <f>AND('2015'!AQ10,"AAAAAH/3790=")</f>
        <v>#VALUE!</v>
      </c>
      <c r="HO3" t="e">
        <f>AND('2015'!AR10,"AAAAAH/3794=")</f>
        <v>#VALUE!</v>
      </c>
      <c r="HP3" t="e">
        <f>AND('2015'!AS10,"AAAAAH/3798=")</f>
        <v>#VALUE!</v>
      </c>
      <c r="HQ3" t="e">
        <f>AND('2015'!AT10,"AAAAAH/37+A=")</f>
        <v>#VALUE!</v>
      </c>
      <c r="HR3" t="e">
        <f>AND('2015'!#REF!,"AAAAAH/37+E=")</f>
        <v>#REF!</v>
      </c>
      <c r="HS3" t="e">
        <f>AND('2015'!AU10,"AAAAAH/37+I=")</f>
        <v>#VALUE!</v>
      </c>
      <c r="HT3" t="e">
        <f>AND('2015'!AV10,"AAAAAH/37+M=")</f>
        <v>#VALUE!</v>
      </c>
      <c r="HU3" t="e">
        <f>AND('2015'!AW10,"AAAAAH/37+Q=")</f>
        <v>#VALUE!</v>
      </c>
      <c r="HV3" t="e">
        <f>AND('2015'!AX10,"AAAAAH/37+U=")</f>
        <v>#VALUE!</v>
      </c>
      <c r="HW3" t="e">
        <f>AND('2015'!AY10,"AAAAAH/37+Y=")</f>
        <v>#VALUE!</v>
      </c>
      <c r="HX3" t="e">
        <f>AND('2015'!AZ10,"AAAAAH/37+c=")</f>
        <v>#VALUE!</v>
      </c>
      <c r="HY3" t="e">
        <f>AND('2015'!BA10,"AAAAAH/37+g=")</f>
        <v>#VALUE!</v>
      </c>
      <c r="HZ3" t="e">
        <f>AND('2015'!BB10,"AAAAAH/37+k=")</f>
        <v>#VALUE!</v>
      </c>
      <c r="IA3" t="e">
        <f>AND('2015'!BC10,"AAAAAH/37+o=")</f>
        <v>#VALUE!</v>
      </c>
      <c r="IB3" t="e">
        <f>AND('2015'!BD10,"AAAAAH/37+s=")</f>
        <v>#VALUE!</v>
      </c>
      <c r="IC3" t="e">
        <f>AND('2015'!BE10,"AAAAAH/37+w=")</f>
        <v>#VALUE!</v>
      </c>
      <c r="ID3" t="e">
        <f>AND('2015'!BF10,"AAAAAH/37+0=")</f>
        <v>#VALUE!</v>
      </c>
      <c r="IE3" t="e">
        <f>AND('2015'!BG10,"AAAAAH/37+4=")</f>
        <v>#VALUE!</v>
      </c>
      <c r="IF3" t="e">
        <f>AND('2015'!BH10,"AAAAAH/37+8=")</f>
        <v>#VALUE!</v>
      </c>
      <c r="IG3" t="e">
        <f>AND('2015'!BI10,"AAAAAH/37/A=")</f>
        <v>#VALUE!</v>
      </c>
      <c r="IH3" t="e">
        <f>AND('2015'!#REF!,"AAAAAH/37/E=")</f>
        <v>#REF!</v>
      </c>
      <c r="II3" t="e">
        <f>AND('2015'!BJ10,"AAAAAH/37/I=")</f>
        <v>#VALUE!</v>
      </c>
      <c r="IJ3" t="e">
        <f>AND('2015'!BK10,"AAAAAH/37/M=")</f>
        <v>#VALUE!</v>
      </c>
      <c r="IK3" t="e">
        <f>AND('2015'!BL10,"AAAAAH/37/Q=")</f>
        <v>#VALUE!</v>
      </c>
      <c r="IL3" t="e">
        <f>AND('2015'!BM10,"AAAAAH/37/U=")</f>
        <v>#VALUE!</v>
      </c>
      <c r="IM3" t="e">
        <f>AND('2015'!BY10,"AAAAAH/37/Y=")</f>
        <v>#VALUE!</v>
      </c>
      <c r="IN3">
        <f>IF('2015'!11:11,"AAAAAH/37/c=",0)</f>
        <v>0</v>
      </c>
      <c r="IO3" t="e">
        <f>AND('2015'!A11,"AAAAAH/37/g=")</f>
        <v>#VALUE!</v>
      </c>
      <c r="IP3" t="e">
        <f>AND('2015'!B11,"AAAAAH/37/k=")</f>
        <v>#VALUE!</v>
      </c>
      <c r="IQ3" t="e">
        <f>AND('2015'!C11,"AAAAAH/37/o=")</f>
        <v>#VALUE!</v>
      </c>
      <c r="IR3" t="e">
        <f>AND('2015'!D11,"AAAAAH/37/s=")</f>
        <v>#VALUE!</v>
      </c>
      <c r="IS3" t="e">
        <f>AND('2015'!E11,"AAAAAH/37/w=")</f>
        <v>#VALUE!</v>
      </c>
      <c r="IT3" t="e">
        <f>AND('2015'!F11,"AAAAAH/37/0=")</f>
        <v>#VALUE!</v>
      </c>
      <c r="IU3" t="e">
        <f>AND('2015'!G11,"AAAAAH/37/4=")</f>
        <v>#VALUE!</v>
      </c>
      <c r="IV3" t="e">
        <f>AND('2015'!H11,"AAAAAH/37/8=")</f>
        <v>#VALUE!</v>
      </c>
    </row>
    <row r="4" spans="1:256" x14ac:dyDescent="0.25">
      <c r="A4" t="e">
        <f>AND('2015'!I11,"AAAAAH//7wA=")</f>
        <v>#VALUE!</v>
      </c>
      <c r="B4" t="e">
        <f>AND('2015'!J11,"AAAAAH//7wE=")</f>
        <v>#VALUE!</v>
      </c>
      <c r="C4" t="e">
        <f>AND('2015'!K11,"AAAAAH//7wI=")</f>
        <v>#VALUE!</v>
      </c>
      <c r="D4" t="e">
        <f>AND('2015'!L11,"AAAAAH//7wM=")</f>
        <v>#VALUE!</v>
      </c>
      <c r="E4" t="e">
        <f>AND('2015'!M11,"AAAAAH//7wQ=")</f>
        <v>#VALUE!</v>
      </c>
      <c r="F4" t="e">
        <f>AND('2015'!N11,"AAAAAH//7wU=")</f>
        <v>#VALUE!</v>
      </c>
      <c r="G4" t="e">
        <f>AND('2015'!O11,"AAAAAH//7wY=")</f>
        <v>#VALUE!</v>
      </c>
      <c r="H4" t="e">
        <f>AND('2015'!P11,"AAAAAH//7wc=")</f>
        <v>#VALUE!</v>
      </c>
      <c r="I4" t="e">
        <f>AND('2015'!Q11,"AAAAAH//7wg=")</f>
        <v>#VALUE!</v>
      </c>
      <c r="J4" t="e">
        <f>AND('2015'!R11,"AAAAAH//7wk=")</f>
        <v>#VALUE!</v>
      </c>
      <c r="K4" t="e">
        <f>AND('2015'!S11,"AAAAAH//7wo=")</f>
        <v>#VALUE!</v>
      </c>
      <c r="L4" t="e">
        <f>AND('2015'!T11,"AAAAAH//7ws=")</f>
        <v>#VALUE!</v>
      </c>
      <c r="M4" t="e">
        <f>AND('2015'!U11,"AAAAAH//7ww=")</f>
        <v>#VALUE!</v>
      </c>
      <c r="N4" t="e">
        <f>AND('2015'!V11,"AAAAAH//7w0=")</f>
        <v>#VALUE!</v>
      </c>
      <c r="O4" t="e">
        <f>AND('2015'!W11,"AAAAAH//7w4=")</f>
        <v>#VALUE!</v>
      </c>
      <c r="P4" t="e">
        <f>AND('2015'!X11,"AAAAAH//7w8=")</f>
        <v>#VALUE!</v>
      </c>
      <c r="Q4" t="e">
        <f>AND('2015'!Y11,"AAAAAH//7xA=")</f>
        <v>#VALUE!</v>
      </c>
      <c r="R4" t="e">
        <f>AND('2015'!Z11,"AAAAAH//7xE=")</f>
        <v>#VALUE!</v>
      </c>
      <c r="S4" t="e">
        <f>AND('2015'!AA11,"AAAAAH//7xI=")</f>
        <v>#VALUE!</v>
      </c>
      <c r="T4" t="e">
        <f>AND('2015'!AB11,"AAAAAH//7xM=")</f>
        <v>#VALUE!</v>
      </c>
      <c r="U4" t="e">
        <f>AND('2015'!AC11,"AAAAAH//7xQ=")</f>
        <v>#VALUE!</v>
      </c>
      <c r="V4" t="e">
        <f>AND('2015'!AD11,"AAAAAH//7xU=")</f>
        <v>#VALUE!</v>
      </c>
      <c r="W4" t="e">
        <f>AND('2015'!AE11,"AAAAAH//7xY=")</f>
        <v>#VALUE!</v>
      </c>
      <c r="X4" t="e">
        <f>AND('2015'!AF11,"AAAAAH//7xc=")</f>
        <v>#VALUE!</v>
      </c>
      <c r="Y4" t="e">
        <f>AND('2015'!AG11,"AAAAAH//7xg=")</f>
        <v>#VALUE!</v>
      </c>
      <c r="Z4" t="e">
        <f>AND('2015'!AH11,"AAAAAH//7xk=")</f>
        <v>#VALUE!</v>
      </c>
      <c r="AA4" t="e">
        <f>AND('2015'!AI11,"AAAAAH//7xo=")</f>
        <v>#VALUE!</v>
      </c>
      <c r="AB4" t="e">
        <f>AND('2015'!AJ11,"AAAAAH//7xs=")</f>
        <v>#VALUE!</v>
      </c>
      <c r="AC4" t="e">
        <f>AND('2015'!AK11,"AAAAAH//7xw=")</f>
        <v>#VALUE!</v>
      </c>
      <c r="AD4" t="e">
        <f>AND('2015'!AL11,"AAAAAH//7x0=")</f>
        <v>#VALUE!</v>
      </c>
      <c r="AE4" t="e">
        <f>AND('2015'!AM11,"AAAAAH//7x4=")</f>
        <v>#VALUE!</v>
      </c>
      <c r="AF4" t="e">
        <f>AND('2015'!AN11,"AAAAAH//7x8=")</f>
        <v>#VALUE!</v>
      </c>
      <c r="AG4" t="e">
        <f>AND('2015'!AO11,"AAAAAH//7yA=")</f>
        <v>#VALUE!</v>
      </c>
      <c r="AH4" t="e">
        <f>AND('2015'!AP11,"AAAAAH//7yE=")</f>
        <v>#VALUE!</v>
      </c>
      <c r="AI4" t="e">
        <f>AND('2015'!AQ11,"AAAAAH//7yI=")</f>
        <v>#VALUE!</v>
      </c>
      <c r="AJ4" t="e">
        <f>AND('2015'!AR11,"AAAAAH//7yM=")</f>
        <v>#VALUE!</v>
      </c>
      <c r="AK4" t="e">
        <f>AND('2015'!AS11,"AAAAAH//7yQ=")</f>
        <v>#VALUE!</v>
      </c>
      <c r="AL4" t="e">
        <f>AND('2015'!AT11,"AAAAAH//7yU=")</f>
        <v>#VALUE!</v>
      </c>
      <c r="AM4" t="e">
        <f>AND('2015'!#REF!,"AAAAAH//7yY=")</f>
        <v>#REF!</v>
      </c>
      <c r="AN4" t="e">
        <f>AND('2015'!AU11,"AAAAAH//7yc=")</f>
        <v>#VALUE!</v>
      </c>
      <c r="AO4" t="e">
        <f>AND('2015'!AV11,"AAAAAH//7yg=")</f>
        <v>#VALUE!</v>
      </c>
      <c r="AP4" t="e">
        <f>AND('2015'!AW11,"AAAAAH//7yk=")</f>
        <v>#VALUE!</v>
      </c>
      <c r="AQ4" t="e">
        <f>AND('2015'!AX11,"AAAAAH//7yo=")</f>
        <v>#VALUE!</v>
      </c>
      <c r="AR4" t="e">
        <f>AND('2015'!AY11,"AAAAAH//7ys=")</f>
        <v>#VALUE!</v>
      </c>
      <c r="AS4" t="e">
        <f>AND('2015'!AZ11,"AAAAAH//7yw=")</f>
        <v>#VALUE!</v>
      </c>
      <c r="AT4" t="e">
        <f>AND('2015'!BA11,"AAAAAH//7y0=")</f>
        <v>#VALUE!</v>
      </c>
      <c r="AU4" t="e">
        <f>AND('2015'!BB11,"AAAAAH//7y4=")</f>
        <v>#VALUE!</v>
      </c>
      <c r="AV4" t="e">
        <f>AND('2015'!BC11,"AAAAAH//7y8=")</f>
        <v>#VALUE!</v>
      </c>
      <c r="AW4" t="e">
        <f>AND('2015'!BD11,"AAAAAH//7zA=")</f>
        <v>#VALUE!</v>
      </c>
      <c r="AX4" t="e">
        <f>AND('2015'!BE11,"AAAAAH//7zE=")</f>
        <v>#VALUE!</v>
      </c>
      <c r="AY4" t="e">
        <f>AND('2015'!BF11,"AAAAAH//7zI=")</f>
        <v>#VALUE!</v>
      </c>
      <c r="AZ4" t="e">
        <f>AND('2015'!BG11,"AAAAAH//7zM=")</f>
        <v>#VALUE!</v>
      </c>
      <c r="BA4" t="e">
        <f>AND('2015'!BH11,"AAAAAH//7zQ=")</f>
        <v>#VALUE!</v>
      </c>
      <c r="BB4" t="e">
        <f>AND('2015'!BI11,"AAAAAH//7zU=")</f>
        <v>#VALUE!</v>
      </c>
      <c r="BC4" t="e">
        <f>AND('2015'!#REF!,"AAAAAH//7zY=")</f>
        <v>#REF!</v>
      </c>
      <c r="BD4" t="e">
        <f>AND('2015'!BJ11,"AAAAAH//7zc=")</f>
        <v>#VALUE!</v>
      </c>
      <c r="BE4" t="e">
        <f>AND('2015'!BK11,"AAAAAH//7zg=")</f>
        <v>#VALUE!</v>
      </c>
      <c r="BF4" t="e">
        <f>AND('2015'!BL11,"AAAAAH//7zk=")</f>
        <v>#VALUE!</v>
      </c>
      <c r="BG4" t="e">
        <f>AND('2015'!BM11,"AAAAAH//7zo=")</f>
        <v>#VALUE!</v>
      </c>
      <c r="BH4" t="e">
        <f>AND('2015'!BY11,"AAAAAH//7zs=")</f>
        <v>#VALUE!</v>
      </c>
      <c r="BI4" t="str">
        <f>IF('2015'!12:12,"AAAAAH//7zw=",0)</f>
        <v>AAAAAH//7zw=</v>
      </c>
      <c r="BJ4" t="e">
        <f>AND('2015'!A12,"AAAAAH//7z0=")</f>
        <v>#VALUE!</v>
      </c>
      <c r="BK4" t="e">
        <f>AND('2015'!B12,"AAAAAH//7z4=")</f>
        <v>#VALUE!</v>
      </c>
      <c r="BL4" t="e">
        <f>AND('2015'!C12,"AAAAAH//7z8=")</f>
        <v>#VALUE!</v>
      </c>
      <c r="BM4" t="e">
        <f>AND('2015'!D12,"AAAAAH//70A=")</f>
        <v>#VALUE!</v>
      </c>
      <c r="BN4" t="e">
        <f>AND('2015'!E12,"AAAAAH//70E=")</f>
        <v>#VALUE!</v>
      </c>
      <c r="BO4" t="e">
        <f>AND('2015'!F12,"AAAAAH//70I=")</f>
        <v>#VALUE!</v>
      </c>
      <c r="BP4" t="e">
        <f>AND('2015'!G12,"AAAAAH//70M=")</f>
        <v>#VALUE!</v>
      </c>
      <c r="BQ4" t="e">
        <f>AND('2015'!H12,"AAAAAH//70Q=")</f>
        <v>#VALUE!</v>
      </c>
      <c r="BR4" t="e">
        <f>AND('2015'!I12,"AAAAAH//70U=")</f>
        <v>#VALUE!</v>
      </c>
      <c r="BS4" t="e">
        <f>AND('2015'!J12,"AAAAAH//70Y=")</f>
        <v>#VALUE!</v>
      </c>
      <c r="BT4" t="e">
        <f>AND('2015'!K12,"AAAAAH//70c=")</f>
        <v>#VALUE!</v>
      </c>
      <c r="BU4" t="e">
        <f>AND('2015'!L12,"AAAAAH//70g=")</f>
        <v>#VALUE!</v>
      </c>
      <c r="BV4" t="e">
        <f>AND('2015'!M12,"AAAAAH//70k=")</f>
        <v>#VALUE!</v>
      </c>
      <c r="BW4" t="e">
        <f>AND('2015'!N12,"AAAAAH//70o=")</f>
        <v>#VALUE!</v>
      </c>
      <c r="BX4" t="e">
        <f>AND('2015'!O12,"AAAAAH//70s=")</f>
        <v>#VALUE!</v>
      </c>
      <c r="BY4" t="e">
        <f>AND('2015'!P12,"AAAAAH//70w=")</f>
        <v>#VALUE!</v>
      </c>
      <c r="BZ4" t="e">
        <f>AND('2015'!Q12,"AAAAAH//700=")</f>
        <v>#VALUE!</v>
      </c>
      <c r="CA4" t="e">
        <f>AND('2015'!R12,"AAAAAH//704=")</f>
        <v>#VALUE!</v>
      </c>
      <c r="CB4" t="e">
        <f>AND('2015'!S12,"AAAAAH//708=")</f>
        <v>#VALUE!</v>
      </c>
      <c r="CC4" t="e">
        <f>AND('2015'!T12,"AAAAAH//71A=")</f>
        <v>#VALUE!</v>
      </c>
      <c r="CD4" t="e">
        <f>AND('2015'!U12,"AAAAAH//71E=")</f>
        <v>#VALUE!</v>
      </c>
      <c r="CE4" t="e">
        <f>AND('2015'!V12,"AAAAAH//71I=")</f>
        <v>#VALUE!</v>
      </c>
      <c r="CF4" t="e">
        <f>AND('2015'!W12,"AAAAAH//71M=")</f>
        <v>#VALUE!</v>
      </c>
      <c r="CG4" t="e">
        <f>AND('2015'!X12,"AAAAAH//71Q=")</f>
        <v>#VALUE!</v>
      </c>
      <c r="CH4" t="e">
        <f>AND('2015'!Y12,"AAAAAH//71U=")</f>
        <v>#VALUE!</v>
      </c>
      <c r="CI4" t="e">
        <f>AND('2015'!Z12,"AAAAAH//71Y=")</f>
        <v>#VALUE!</v>
      </c>
      <c r="CJ4" t="e">
        <f>AND('2015'!AA12,"AAAAAH//71c=")</f>
        <v>#VALUE!</v>
      </c>
      <c r="CK4" t="e">
        <f>AND('2015'!AB12,"AAAAAH//71g=")</f>
        <v>#VALUE!</v>
      </c>
      <c r="CL4" t="e">
        <f>AND('2015'!AC12,"AAAAAH//71k=")</f>
        <v>#VALUE!</v>
      </c>
      <c r="CM4" t="e">
        <f>AND('2015'!AD12,"AAAAAH//71o=")</f>
        <v>#VALUE!</v>
      </c>
      <c r="CN4" t="e">
        <f>AND('2015'!AE12,"AAAAAH//71s=")</f>
        <v>#VALUE!</v>
      </c>
      <c r="CO4" t="e">
        <f>AND('2015'!AF12,"AAAAAH//71w=")</f>
        <v>#VALUE!</v>
      </c>
      <c r="CP4" t="e">
        <f>AND('2015'!AG12,"AAAAAH//710=")</f>
        <v>#VALUE!</v>
      </c>
      <c r="CQ4" t="e">
        <f>AND('2015'!AH12,"AAAAAH//714=")</f>
        <v>#VALUE!</v>
      </c>
      <c r="CR4" t="e">
        <f>AND('2015'!AI12,"AAAAAH//718=")</f>
        <v>#VALUE!</v>
      </c>
      <c r="CS4" t="e">
        <f>AND('2015'!AJ12,"AAAAAH//72A=")</f>
        <v>#VALUE!</v>
      </c>
      <c r="CT4" t="e">
        <f>AND('2015'!AK12,"AAAAAH//72E=")</f>
        <v>#VALUE!</v>
      </c>
      <c r="CU4" t="e">
        <f>AND('2015'!AL12,"AAAAAH//72I=")</f>
        <v>#VALUE!</v>
      </c>
      <c r="CV4" t="e">
        <f>AND('2015'!AM12,"AAAAAH//72M=")</f>
        <v>#VALUE!</v>
      </c>
      <c r="CW4" t="e">
        <f>AND('2015'!AN12,"AAAAAH//72Q=")</f>
        <v>#VALUE!</v>
      </c>
      <c r="CX4" t="e">
        <f>AND('2015'!AO12,"AAAAAH//72U=")</f>
        <v>#VALUE!</v>
      </c>
      <c r="CY4" t="e">
        <f>AND('2015'!AP12,"AAAAAH//72Y=")</f>
        <v>#VALUE!</v>
      </c>
      <c r="CZ4" t="e">
        <f>AND('2015'!AQ12,"AAAAAH//72c=")</f>
        <v>#VALUE!</v>
      </c>
      <c r="DA4" t="e">
        <f>AND('2015'!AR12,"AAAAAH//72g=")</f>
        <v>#VALUE!</v>
      </c>
      <c r="DB4" t="e">
        <f>AND('2015'!AS12,"AAAAAH//72k=")</f>
        <v>#VALUE!</v>
      </c>
      <c r="DC4" t="e">
        <f>AND('2015'!AT12,"AAAAAH//72o=")</f>
        <v>#VALUE!</v>
      </c>
      <c r="DD4" t="e">
        <f>AND('2015'!#REF!,"AAAAAH//72s=")</f>
        <v>#REF!</v>
      </c>
      <c r="DE4" t="e">
        <f>AND('2015'!AU12,"AAAAAH//72w=")</f>
        <v>#VALUE!</v>
      </c>
      <c r="DF4" t="e">
        <f>AND('2015'!AV12,"AAAAAH//720=")</f>
        <v>#VALUE!</v>
      </c>
      <c r="DG4" t="e">
        <f>AND('2015'!AW12,"AAAAAH//724=")</f>
        <v>#VALUE!</v>
      </c>
      <c r="DH4" t="e">
        <f>AND('2015'!AX12,"AAAAAH//728=")</f>
        <v>#VALUE!</v>
      </c>
      <c r="DI4" t="e">
        <f>AND('2015'!AY12,"AAAAAH//73A=")</f>
        <v>#VALUE!</v>
      </c>
      <c r="DJ4" t="e">
        <f>AND('2015'!AZ12,"AAAAAH//73E=")</f>
        <v>#VALUE!</v>
      </c>
      <c r="DK4" t="e">
        <f>AND('2015'!BA12,"AAAAAH//73I=")</f>
        <v>#VALUE!</v>
      </c>
      <c r="DL4" t="e">
        <f>AND('2015'!BB12,"AAAAAH//73M=")</f>
        <v>#VALUE!</v>
      </c>
      <c r="DM4" t="e">
        <f>AND('2015'!BC12,"AAAAAH//73Q=")</f>
        <v>#VALUE!</v>
      </c>
      <c r="DN4" t="e">
        <f>AND('2015'!BD12,"AAAAAH//73U=")</f>
        <v>#VALUE!</v>
      </c>
      <c r="DO4" t="e">
        <f>AND('2015'!BE12,"AAAAAH//73Y=")</f>
        <v>#VALUE!</v>
      </c>
      <c r="DP4" t="e">
        <f>AND('2015'!BF12,"AAAAAH//73c=")</f>
        <v>#VALUE!</v>
      </c>
      <c r="DQ4" t="e">
        <f>AND('2015'!BG12,"AAAAAH//73g=")</f>
        <v>#VALUE!</v>
      </c>
      <c r="DR4" t="e">
        <f>AND('2015'!BH12,"AAAAAH//73k=")</f>
        <v>#VALUE!</v>
      </c>
      <c r="DS4" t="e">
        <f>AND('2015'!BI12,"AAAAAH//73o=")</f>
        <v>#VALUE!</v>
      </c>
      <c r="DT4" t="e">
        <f>AND('2015'!#REF!,"AAAAAH//73s=")</f>
        <v>#REF!</v>
      </c>
      <c r="DU4" t="e">
        <f>AND('2015'!BJ12,"AAAAAH//73w=")</f>
        <v>#VALUE!</v>
      </c>
      <c r="DV4" t="e">
        <f>AND('2015'!BK12,"AAAAAH//730=")</f>
        <v>#VALUE!</v>
      </c>
      <c r="DW4" t="e">
        <f>AND('2015'!BL12,"AAAAAH//734=")</f>
        <v>#VALUE!</v>
      </c>
      <c r="DX4" t="e">
        <f>AND('2015'!BM12,"AAAAAH//738=")</f>
        <v>#VALUE!</v>
      </c>
      <c r="DY4" t="e">
        <f>AND('2015'!BY12,"AAAAAH//74A=")</f>
        <v>#VALUE!</v>
      </c>
      <c r="DZ4">
        <f>IF('2015'!13:13,"AAAAAH//74E=",0)</f>
        <v>0</v>
      </c>
      <c r="EA4" t="e">
        <f>AND('2015'!A13,"AAAAAH//74I=")</f>
        <v>#VALUE!</v>
      </c>
      <c r="EB4" t="e">
        <f>AND('2015'!#REF!,"AAAAAH//74M=")</f>
        <v>#REF!</v>
      </c>
      <c r="EC4" t="e">
        <f>AND('2015'!#REF!,"AAAAAH//74Q=")</f>
        <v>#REF!</v>
      </c>
      <c r="ED4" t="e">
        <f>AND('2015'!#REF!,"AAAAAH//74U=")</f>
        <v>#REF!</v>
      </c>
      <c r="EE4" t="e">
        <f>AND('2015'!#REF!,"AAAAAH//74Y=")</f>
        <v>#REF!</v>
      </c>
      <c r="EF4" t="e">
        <f>AND('2015'!#REF!,"AAAAAH//74c=")</f>
        <v>#REF!</v>
      </c>
      <c r="EG4" t="e">
        <f>AND('2015'!G13,"AAAAAH//74g=")</f>
        <v>#VALUE!</v>
      </c>
      <c r="EH4" t="e">
        <f>AND('2015'!H13,"AAAAAH//74k=")</f>
        <v>#VALUE!</v>
      </c>
      <c r="EI4" t="e">
        <f>AND('2015'!I13,"AAAAAH//74o=")</f>
        <v>#VALUE!</v>
      </c>
      <c r="EJ4" t="e">
        <f>AND('2015'!J13,"AAAAAH//74s=")</f>
        <v>#VALUE!</v>
      </c>
      <c r="EK4" t="e">
        <f>AND('2015'!K13,"AAAAAH//74w=")</f>
        <v>#VALUE!</v>
      </c>
      <c r="EL4" t="e">
        <f>AND('2015'!L13,"AAAAAH//740=")</f>
        <v>#VALUE!</v>
      </c>
      <c r="EM4" t="e">
        <f>AND('2015'!M13,"AAAAAH//744=")</f>
        <v>#VALUE!</v>
      </c>
      <c r="EN4" t="e">
        <f>AND('2015'!N13,"AAAAAH//748=")</f>
        <v>#VALUE!</v>
      </c>
      <c r="EO4" t="e">
        <f>AND('2015'!O13,"AAAAAH//75A=")</f>
        <v>#VALUE!</v>
      </c>
      <c r="EP4" t="e">
        <f>AND('2015'!P13,"AAAAAH//75E=")</f>
        <v>#VALUE!</v>
      </c>
      <c r="EQ4" t="e">
        <f>AND('2015'!Q13,"AAAAAH//75I=")</f>
        <v>#VALUE!</v>
      </c>
      <c r="ER4" t="e">
        <f>AND('2015'!R13,"AAAAAH//75M=")</f>
        <v>#VALUE!</v>
      </c>
      <c r="ES4" t="e">
        <f>AND('2015'!S13,"AAAAAH//75Q=")</f>
        <v>#VALUE!</v>
      </c>
      <c r="ET4" t="e">
        <f>AND('2015'!T13,"AAAAAH//75U=")</f>
        <v>#VALUE!</v>
      </c>
      <c r="EU4" t="e">
        <f>AND('2015'!U13,"AAAAAH//75Y=")</f>
        <v>#VALUE!</v>
      </c>
      <c r="EV4" t="e">
        <f>AND('2015'!V13,"AAAAAH//75c=")</f>
        <v>#VALUE!</v>
      </c>
      <c r="EW4" t="e">
        <f>AND('2015'!W13,"AAAAAH//75g=")</f>
        <v>#VALUE!</v>
      </c>
      <c r="EX4" t="e">
        <f>AND('2015'!X13,"AAAAAH//75k=")</f>
        <v>#VALUE!</v>
      </c>
      <c r="EY4" t="e">
        <f>AND('2015'!Y13,"AAAAAH//75o=")</f>
        <v>#VALUE!</v>
      </c>
      <c r="EZ4" t="e">
        <f>AND('2015'!Z13,"AAAAAH//75s=")</f>
        <v>#VALUE!</v>
      </c>
      <c r="FA4" t="e">
        <f>AND('2015'!AA13,"AAAAAH//75w=")</f>
        <v>#VALUE!</v>
      </c>
      <c r="FB4" t="e">
        <f>AND('2015'!AB13,"AAAAAH//750=")</f>
        <v>#VALUE!</v>
      </c>
      <c r="FC4" t="e">
        <f>AND('2015'!AC13,"AAAAAH//754=")</f>
        <v>#VALUE!</v>
      </c>
      <c r="FD4" t="e">
        <f>AND('2015'!AD13,"AAAAAH//758=")</f>
        <v>#VALUE!</v>
      </c>
      <c r="FE4" t="e">
        <f>AND('2015'!AE13,"AAAAAH//76A=")</f>
        <v>#VALUE!</v>
      </c>
      <c r="FF4" t="e">
        <f>AND('2015'!AF13,"AAAAAH//76E=")</f>
        <v>#VALUE!</v>
      </c>
      <c r="FG4" t="e">
        <f>AND('2015'!AG13,"AAAAAH//76I=")</f>
        <v>#VALUE!</v>
      </c>
      <c r="FH4" t="e">
        <f>AND('2015'!AH13,"AAAAAH//76M=")</f>
        <v>#VALUE!</v>
      </c>
      <c r="FI4" t="e">
        <f>AND('2015'!AI13,"AAAAAH//76Q=")</f>
        <v>#VALUE!</v>
      </c>
      <c r="FJ4" t="e">
        <f>AND('2015'!AJ13,"AAAAAH//76U=")</f>
        <v>#VALUE!</v>
      </c>
      <c r="FK4" t="e">
        <f>AND('2015'!AK13,"AAAAAH//76Y=")</f>
        <v>#VALUE!</v>
      </c>
      <c r="FL4" t="e">
        <f>AND('2015'!AL13,"AAAAAH//76c=")</f>
        <v>#VALUE!</v>
      </c>
      <c r="FM4" t="e">
        <f>AND('2015'!AM13,"AAAAAH//76g=")</f>
        <v>#VALUE!</v>
      </c>
      <c r="FN4" t="e">
        <f>AND('2015'!AN13,"AAAAAH//76k=")</f>
        <v>#VALUE!</v>
      </c>
      <c r="FO4" t="e">
        <f>AND('2015'!AO13,"AAAAAH//76o=")</f>
        <v>#VALUE!</v>
      </c>
      <c r="FP4" t="e">
        <f>AND('2015'!AP13,"AAAAAH//76s=")</f>
        <v>#VALUE!</v>
      </c>
      <c r="FQ4" t="e">
        <f>AND('2015'!AQ13,"AAAAAH//76w=")</f>
        <v>#VALUE!</v>
      </c>
      <c r="FR4" t="e">
        <f>AND('2015'!AR13,"AAAAAH//760=")</f>
        <v>#VALUE!</v>
      </c>
      <c r="FS4" t="e">
        <f>AND('2015'!AS13,"AAAAAH//764=")</f>
        <v>#VALUE!</v>
      </c>
      <c r="FT4" t="e">
        <f>AND('2015'!AT13,"AAAAAH//768=")</f>
        <v>#VALUE!</v>
      </c>
      <c r="FU4" t="e">
        <f>AND('2015'!#REF!,"AAAAAH//77A=")</f>
        <v>#REF!</v>
      </c>
      <c r="FV4" t="e">
        <f>AND('2015'!AU13,"AAAAAH//77E=")</f>
        <v>#VALUE!</v>
      </c>
      <c r="FW4" t="e">
        <f>AND('2015'!AV13,"AAAAAH//77I=")</f>
        <v>#VALUE!</v>
      </c>
      <c r="FX4" t="e">
        <f>AND('2015'!AW13,"AAAAAH//77M=")</f>
        <v>#VALUE!</v>
      </c>
      <c r="FY4" t="e">
        <f>AND('2015'!AX13,"AAAAAH//77Q=")</f>
        <v>#VALUE!</v>
      </c>
      <c r="FZ4" t="e">
        <f>AND('2015'!AY13,"AAAAAH//77U=")</f>
        <v>#VALUE!</v>
      </c>
      <c r="GA4" t="e">
        <f>AND('2015'!AZ13,"AAAAAH//77Y=")</f>
        <v>#VALUE!</v>
      </c>
      <c r="GB4" t="e">
        <f>AND('2015'!BA13,"AAAAAH//77c=")</f>
        <v>#VALUE!</v>
      </c>
      <c r="GC4" t="e">
        <f>AND('2015'!BB13,"AAAAAH//77g=")</f>
        <v>#VALUE!</v>
      </c>
      <c r="GD4" t="e">
        <f>AND('2015'!BC13,"AAAAAH//77k=")</f>
        <v>#VALUE!</v>
      </c>
      <c r="GE4" t="e">
        <f>AND('2015'!BD13,"AAAAAH//77o=")</f>
        <v>#VALUE!</v>
      </c>
      <c r="GF4" t="e">
        <f>AND('2015'!BE13,"AAAAAH//77s=")</f>
        <v>#VALUE!</v>
      </c>
      <c r="GG4" t="e">
        <f>AND('2015'!BF13,"AAAAAH//77w=")</f>
        <v>#VALUE!</v>
      </c>
      <c r="GH4" t="e">
        <f>AND('2015'!BG13,"AAAAAH//770=")</f>
        <v>#VALUE!</v>
      </c>
      <c r="GI4" t="e">
        <f>AND('2015'!BH13,"AAAAAH//774=")</f>
        <v>#VALUE!</v>
      </c>
      <c r="GJ4" t="e">
        <f>AND('2015'!BI13,"AAAAAH//778=")</f>
        <v>#VALUE!</v>
      </c>
      <c r="GK4" t="e">
        <f>AND('2015'!#REF!,"AAAAAH//78A=")</f>
        <v>#REF!</v>
      </c>
      <c r="GL4" t="e">
        <f>AND('2015'!BJ13,"AAAAAH//78E=")</f>
        <v>#VALUE!</v>
      </c>
      <c r="GM4" t="e">
        <f>AND('2015'!BK13,"AAAAAH//78I=")</f>
        <v>#VALUE!</v>
      </c>
      <c r="GN4" t="e">
        <f>AND('2015'!BL13,"AAAAAH//78M=")</f>
        <v>#VALUE!</v>
      </c>
      <c r="GO4" t="e">
        <f>AND('2015'!BM13,"AAAAAH//78Q=")</f>
        <v>#VALUE!</v>
      </c>
      <c r="GP4" t="e">
        <f>AND('2015'!BY13,"AAAAAH//78U=")</f>
        <v>#VALUE!</v>
      </c>
      <c r="GQ4">
        <f>IF('2015'!34:34,"AAAAAH//78Y=",0)</f>
        <v>0</v>
      </c>
      <c r="GR4" t="e">
        <f>AND('2015'!A34,"AAAAAH//78c=")</f>
        <v>#VALUE!</v>
      </c>
      <c r="GS4" t="e">
        <f>AND('2015'!B34,"AAAAAH//78g=")</f>
        <v>#VALUE!</v>
      </c>
      <c r="GT4" t="e">
        <f>AND('2015'!C34,"AAAAAH//78k=")</f>
        <v>#VALUE!</v>
      </c>
      <c r="GU4" t="e">
        <f>AND('2015'!D34,"AAAAAH//78o=")</f>
        <v>#VALUE!</v>
      </c>
      <c r="GV4" t="e">
        <f>AND('2015'!E34,"AAAAAH//78s=")</f>
        <v>#VALUE!</v>
      </c>
      <c r="GW4" t="e">
        <f>AND('2015'!F34,"AAAAAH//78w=")</f>
        <v>#VALUE!</v>
      </c>
      <c r="GX4" t="e">
        <f>AND('2015'!G34,"AAAAAH//780=")</f>
        <v>#VALUE!</v>
      </c>
      <c r="GY4" t="e">
        <f>AND('2015'!H34,"AAAAAH//784=")</f>
        <v>#VALUE!</v>
      </c>
      <c r="GZ4" t="e">
        <f>AND('2015'!I34,"AAAAAH//788=")</f>
        <v>#VALUE!</v>
      </c>
      <c r="HA4" t="e">
        <f>AND('2015'!J34,"AAAAAH//79A=")</f>
        <v>#VALUE!</v>
      </c>
      <c r="HB4" t="e">
        <f>AND('2015'!K34,"AAAAAH//79E=")</f>
        <v>#VALUE!</v>
      </c>
      <c r="HC4" t="e">
        <f>AND('2015'!L34,"AAAAAH//79I=")</f>
        <v>#VALUE!</v>
      </c>
      <c r="HD4" t="e">
        <f>AND('2015'!M34,"AAAAAH//79M=")</f>
        <v>#VALUE!</v>
      </c>
      <c r="HE4" t="e">
        <f>AND('2015'!N34,"AAAAAH//79Q=")</f>
        <v>#VALUE!</v>
      </c>
      <c r="HF4" t="e">
        <f>AND('2015'!O34,"AAAAAH//79U=")</f>
        <v>#VALUE!</v>
      </c>
      <c r="HG4" t="e">
        <f>AND('2015'!P34,"AAAAAH//79Y=")</f>
        <v>#VALUE!</v>
      </c>
      <c r="HH4" t="e">
        <f>AND('2015'!Q34,"AAAAAH//79c=")</f>
        <v>#VALUE!</v>
      </c>
      <c r="HI4" t="e">
        <f>AND('2015'!R34,"AAAAAH//79g=")</f>
        <v>#VALUE!</v>
      </c>
      <c r="HJ4" t="e">
        <f>AND('2015'!S34,"AAAAAH//79k=")</f>
        <v>#VALUE!</v>
      </c>
      <c r="HK4" t="e">
        <f>AND('2015'!T34,"AAAAAH//79o=")</f>
        <v>#VALUE!</v>
      </c>
      <c r="HL4" t="e">
        <f>AND('2015'!U34,"AAAAAH//79s=")</f>
        <v>#VALUE!</v>
      </c>
      <c r="HM4" t="e">
        <f>AND('2015'!V34,"AAAAAH//79w=")</f>
        <v>#VALUE!</v>
      </c>
      <c r="HN4" t="e">
        <f>AND('2015'!W34,"AAAAAH//790=")</f>
        <v>#VALUE!</v>
      </c>
      <c r="HO4" t="e">
        <f>AND('2015'!X34,"AAAAAH//794=")</f>
        <v>#VALUE!</v>
      </c>
      <c r="HP4" t="e">
        <f>AND('2015'!Y34,"AAAAAH//798=")</f>
        <v>#VALUE!</v>
      </c>
      <c r="HQ4" t="e">
        <f>AND('2015'!Z34,"AAAAAH//7+A=")</f>
        <v>#VALUE!</v>
      </c>
      <c r="HR4" t="e">
        <f>AND('2015'!AA34,"AAAAAH//7+E=")</f>
        <v>#VALUE!</v>
      </c>
      <c r="HS4" t="e">
        <f>AND('2015'!AB34,"AAAAAH//7+I=")</f>
        <v>#VALUE!</v>
      </c>
      <c r="HT4" t="e">
        <f>AND('2015'!AC34,"AAAAAH//7+M=")</f>
        <v>#VALUE!</v>
      </c>
      <c r="HU4" t="e">
        <f>AND('2015'!AD34,"AAAAAH//7+Q=")</f>
        <v>#VALUE!</v>
      </c>
      <c r="HV4" t="e">
        <f>AND('2015'!AE34,"AAAAAH//7+U=")</f>
        <v>#VALUE!</v>
      </c>
      <c r="HW4" t="e">
        <f>AND('2015'!AF34,"AAAAAH//7+Y=")</f>
        <v>#VALUE!</v>
      </c>
      <c r="HX4" t="e">
        <f>AND('2015'!AG34,"AAAAAH//7+c=")</f>
        <v>#VALUE!</v>
      </c>
      <c r="HY4" t="e">
        <f>AND('2015'!AH34,"AAAAAH//7+g=")</f>
        <v>#VALUE!</v>
      </c>
      <c r="HZ4" t="e">
        <f>AND('2015'!AI34,"AAAAAH//7+k=")</f>
        <v>#VALUE!</v>
      </c>
      <c r="IA4" t="e">
        <f>AND('2015'!AJ34,"AAAAAH//7+o=")</f>
        <v>#VALUE!</v>
      </c>
      <c r="IB4" t="e">
        <f>AND('2015'!AK34,"AAAAAH//7+s=")</f>
        <v>#VALUE!</v>
      </c>
      <c r="IC4" t="e">
        <f>AND('2015'!AL34,"AAAAAH//7+w=")</f>
        <v>#VALUE!</v>
      </c>
      <c r="ID4" t="e">
        <f>AND('2015'!AM34,"AAAAAH//7+0=")</f>
        <v>#VALUE!</v>
      </c>
      <c r="IE4" t="e">
        <f>AND('2015'!AN34,"AAAAAH//7+4=")</f>
        <v>#VALUE!</v>
      </c>
      <c r="IF4" t="e">
        <f>AND('2015'!AO34,"AAAAAH//7+8=")</f>
        <v>#VALUE!</v>
      </c>
      <c r="IG4" t="e">
        <f>AND('2015'!AP34,"AAAAAH//7/A=")</f>
        <v>#VALUE!</v>
      </c>
      <c r="IH4" t="e">
        <f>AND('2015'!AQ34,"AAAAAH//7/E=")</f>
        <v>#VALUE!</v>
      </c>
      <c r="II4" t="e">
        <f>AND('2015'!AR34,"AAAAAH//7/I=")</f>
        <v>#VALUE!</v>
      </c>
      <c r="IJ4" t="e">
        <f>AND('2015'!AS34,"AAAAAH//7/M=")</f>
        <v>#VALUE!</v>
      </c>
      <c r="IK4" t="e">
        <f>AND('2015'!AT34,"AAAAAH//7/Q=")</f>
        <v>#VALUE!</v>
      </c>
      <c r="IL4" t="e">
        <f>AND('2015'!#REF!,"AAAAAH//7/U=")</f>
        <v>#REF!</v>
      </c>
      <c r="IM4" t="e">
        <f>AND('2015'!AU34,"AAAAAH//7/Y=")</f>
        <v>#VALUE!</v>
      </c>
      <c r="IN4" t="e">
        <f>AND('2015'!AV34,"AAAAAH//7/c=")</f>
        <v>#VALUE!</v>
      </c>
      <c r="IO4" t="e">
        <f>AND('2015'!AW34,"AAAAAH//7/g=")</f>
        <v>#VALUE!</v>
      </c>
      <c r="IP4" t="e">
        <f>AND('2015'!AX34,"AAAAAH//7/k=")</f>
        <v>#VALUE!</v>
      </c>
      <c r="IQ4" t="e">
        <f>AND('2015'!AY34,"AAAAAH//7/o=")</f>
        <v>#VALUE!</v>
      </c>
      <c r="IR4" t="e">
        <f>AND('2015'!AZ34,"AAAAAH//7/s=")</f>
        <v>#VALUE!</v>
      </c>
      <c r="IS4" t="e">
        <f>AND('2015'!BA34,"AAAAAH//7/w=")</f>
        <v>#VALUE!</v>
      </c>
      <c r="IT4" t="e">
        <f>AND('2015'!BB34,"AAAAAH//7/0=")</f>
        <v>#VALUE!</v>
      </c>
      <c r="IU4" t="e">
        <f>AND('2015'!BC34,"AAAAAH//7/4=")</f>
        <v>#VALUE!</v>
      </c>
      <c r="IV4" t="e">
        <f>AND('2015'!BD34,"AAAAAH//7/8=")</f>
        <v>#VALUE!</v>
      </c>
    </row>
    <row r="5" spans="1:256" x14ac:dyDescent="0.25">
      <c r="A5" t="e">
        <f>AND('2015'!BE34,"AAAAAEb/vwA=")</f>
        <v>#VALUE!</v>
      </c>
      <c r="B5" t="e">
        <f>AND('2015'!BF34,"AAAAAEb/vwE=")</f>
        <v>#VALUE!</v>
      </c>
      <c r="C5" t="e">
        <f>AND('2015'!BG34,"AAAAAEb/vwI=")</f>
        <v>#VALUE!</v>
      </c>
      <c r="D5" t="e">
        <f>AND('2015'!BH34,"AAAAAEb/vwM=")</f>
        <v>#VALUE!</v>
      </c>
      <c r="E5" t="e">
        <f>AND('2015'!BI34,"AAAAAEb/vwQ=")</f>
        <v>#VALUE!</v>
      </c>
      <c r="F5" t="e">
        <f>AND('2015'!#REF!,"AAAAAEb/vwU=")</f>
        <v>#REF!</v>
      </c>
      <c r="G5" t="e">
        <f>AND('2015'!BJ34,"AAAAAEb/vwY=")</f>
        <v>#VALUE!</v>
      </c>
      <c r="H5" t="e">
        <f>AND('2015'!BK34,"AAAAAEb/vwc=")</f>
        <v>#VALUE!</v>
      </c>
      <c r="I5" t="e">
        <f>AND('2015'!BL34,"AAAAAEb/vwg=")</f>
        <v>#VALUE!</v>
      </c>
      <c r="J5" t="e">
        <f>AND('2015'!BM34,"AAAAAEb/vwk=")</f>
        <v>#VALUE!</v>
      </c>
      <c r="K5" t="e">
        <f>AND('2015'!BY34,"AAAAAEb/vwo=")</f>
        <v>#VALUE!</v>
      </c>
      <c r="L5">
        <f>IF('2015'!35:35,"AAAAAEb/vws=",0)</f>
        <v>0</v>
      </c>
      <c r="M5" t="e">
        <f>AND('2015'!A35,"AAAAAEb/vww=")</f>
        <v>#VALUE!</v>
      </c>
      <c r="N5" t="e">
        <f>AND('2015'!B35,"AAAAAEb/vw0=")</f>
        <v>#VALUE!</v>
      </c>
      <c r="O5" t="e">
        <f>AND('2015'!C35,"AAAAAEb/vw4=")</f>
        <v>#VALUE!</v>
      </c>
      <c r="P5" t="e">
        <f>AND('2015'!D35,"AAAAAEb/vw8=")</f>
        <v>#VALUE!</v>
      </c>
      <c r="Q5" t="e">
        <f>AND('2015'!E35,"AAAAAEb/vxA=")</f>
        <v>#VALUE!</v>
      </c>
      <c r="R5" t="e">
        <f>AND('2015'!F35,"AAAAAEb/vxE=")</f>
        <v>#VALUE!</v>
      </c>
      <c r="S5" t="e">
        <f>AND('2015'!G35,"AAAAAEb/vxI=")</f>
        <v>#VALUE!</v>
      </c>
      <c r="T5" t="e">
        <f>AND('2015'!H35,"AAAAAEb/vxM=")</f>
        <v>#VALUE!</v>
      </c>
      <c r="U5" t="e">
        <f>AND('2015'!I35,"AAAAAEb/vxQ=")</f>
        <v>#VALUE!</v>
      </c>
      <c r="V5" t="e">
        <f>AND('2015'!J35,"AAAAAEb/vxU=")</f>
        <v>#VALUE!</v>
      </c>
      <c r="W5" t="e">
        <f>AND('2015'!K35,"AAAAAEb/vxY=")</f>
        <v>#VALUE!</v>
      </c>
      <c r="X5" t="e">
        <f>AND('2015'!L35,"AAAAAEb/vxc=")</f>
        <v>#VALUE!</v>
      </c>
      <c r="Y5" t="e">
        <f>AND('2015'!M35,"AAAAAEb/vxg=")</f>
        <v>#VALUE!</v>
      </c>
      <c r="Z5" t="e">
        <f>AND('2015'!N35,"AAAAAEb/vxk=")</f>
        <v>#VALUE!</v>
      </c>
      <c r="AA5" t="e">
        <f>AND('2015'!O35,"AAAAAEb/vxo=")</f>
        <v>#VALUE!</v>
      </c>
      <c r="AB5" t="e">
        <f>AND('2015'!P35,"AAAAAEb/vxs=")</f>
        <v>#VALUE!</v>
      </c>
      <c r="AC5" t="e">
        <f>AND('2015'!Q35,"AAAAAEb/vxw=")</f>
        <v>#VALUE!</v>
      </c>
      <c r="AD5" t="e">
        <f>AND('2015'!R35,"AAAAAEb/vx0=")</f>
        <v>#VALUE!</v>
      </c>
      <c r="AE5" t="e">
        <f>AND('2015'!S35,"AAAAAEb/vx4=")</f>
        <v>#VALUE!</v>
      </c>
      <c r="AF5" t="e">
        <f>AND('2015'!T35,"AAAAAEb/vx8=")</f>
        <v>#VALUE!</v>
      </c>
      <c r="AG5" t="e">
        <f>AND('2015'!U35,"AAAAAEb/vyA=")</f>
        <v>#VALUE!</v>
      </c>
      <c r="AH5" t="e">
        <f>AND('2015'!V35,"AAAAAEb/vyE=")</f>
        <v>#VALUE!</v>
      </c>
      <c r="AI5" t="e">
        <f>AND('2015'!W35,"AAAAAEb/vyI=")</f>
        <v>#VALUE!</v>
      </c>
      <c r="AJ5" t="e">
        <f>AND('2015'!X35,"AAAAAEb/vyM=")</f>
        <v>#VALUE!</v>
      </c>
      <c r="AK5" t="e">
        <f>AND('2015'!Y35,"AAAAAEb/vyQ=")</f>
        <v>#VALUE!</v>
      </c>
      <c r="AL5" t="e">
        <f>AND('2015'!Z35,"AAAAAEb/vyU=")</f>
        <v>#VALUE!</v>
      </c>
      <c r="AM5" t="e">
        <f>AND('2015'!AA35,"AAAAAEb/vyY=")</f>
        <v>#VALUE!</v>
      </c>
      <c r="AN5" t="e">
        <f>AND('2015'!AB35,"AAAAAEb/vyc=")</f>
        <v>#VALUE!</v>
      </c>
      <c r="AO5" t="e">
        <f>AND('2015'!AC35,"AAAAAEb/vyg=")</f>
        <v>#VALUE!</v>
      </c>
      <c r="AP5" t="e">
        <f>AND('2015'!AD35,"AAAAAEb/vyk=")</f>
        <v>#VALUE!</v>
      </c>
      <c r="AQ5" t="e">
        <f>AND('2015'!AE35,"AAAAAEb/vyo=")</f>
        <v>#VALUE!</v>
      </c>
      <c r="AR5" t="e">
        <f>AND('2015'!AF35,"AAAAAEb/vys=")</f>
        <v>#VALUE!</v>
      </c>
      <c r="AS5" t="e">
        <f>AND('2015'!AG35,"AAAAAEb/vyw=")</f>
        <v>#VALUE!</v>
      </c>
      <c r="AT5" t="e">
        <f>AND('2015'!AH35,"AAAAAEb/vy0=")</f>
        <v>#VALUE!</v>
      </c>
      <c r="AU5" t="e">
        <f>AND('2015'!AI35,"AAAAAEb/vy4=")</f>
        <v>#VALUE!</v>
      </c>
      <c r="AV5" t="e">
        <f>AND('2015'!AJ35,"AAAAAEb/vy8=")</f>
        <v>#VALUE!</v>
      </c>
      <c r="AW5" t="e">
        <f>AND('2015'!AK35,"AAAAAEb/vzA=")</f>
        <v>#VALUE!</v>
      </c>
      <c r="AX5" t="e">
        <f>AND('2015'!AL35,"AAAAAEb/vzE=")</f>
        <v>#VALUE!</v>
      </c>
      <c r="AY5" t="e">
        <f>AND('2015'!AM35,"AAAAAEb/vzI=")</f>
        <v>#VALUE!</v>
      </c>
      <c r="AZ5" t="e">
        <f>AND('2015'!AN35,"AAAAAEb/vzM=")</f>
        <v>#VALUE!</v>
      </c>
      <c r="BA5" t="e">
        <f>AND('2015'!AO35,"AAAAAEb/vzQ=")</f>
        <v>#VALUE!</v>
      </c>
      <c r="BB5" t="e">
        <f>AND('2015'!AP35,"AAAAAEb/vzU=")</f>
        <v>#VALUE!</v>
      </c>
      <c r="BC5" t="e">
        <f>AND('2015'!AQ35,"AAAAAEb/vzY=")</f>
        <v>#VALUE!</v>
      </c>
      <c r="BD5" t="e">
        <f>AND('2015'!AR35,"AAAAAEb/vzc=")</f>
        <v>#VALUE!</v>
      </c>
      <c r="BE5" t="e">
        <f>AND('2015'!AS35,"AAAAAEb/vzg=")</f>
        <v>#VALUE!</v>
      </c>
      <c r="BF5" t="e">
        <f>AND('2015'!AT35,"AAAAAEb/vzk=")</f>
        <v>#VALUE!</v>
      </c>
      <c r="BG5" t="e">
        <f>AND('2015'!#REF!,"AAAAAEb/vzo=")</f>
        <v>#REF!</v>
      </c>
      <c r="BH5" t="e">
        <f>AND('2015'!AU35,"AAAAAEb/vzs=")</f>
        <v>#VALUE!</v>
      </c>
      <c r="BI5" t="e">
        <f>AND('2015'!AV35,"AAAAAEb/vzw=")</f>
        <v>#VALUE!</v>
      </c>
      <c r="BJ5" t="e">
        <f>AND('2015'!AW35,"AAAAAEb/vz0=")</f>
        <v>#VALUE!</v>
      </c>
      <c r="BK5" t="e">
        <f>AND('2015'!AX35,"AAAAAEb/vz4=")</f>
        <v>#VALUE!</v>
      </c>
      <c r="BL5" t="e">
        <f>AND('2015'!AY35,"AAAAAEb/vz8=")</f>
        <v>#VALUE!</v>
      </c>
      <c r="BM5" t="e">
        <f>AND('2015'!AZ35,"AAAAAEb/v0A=")</f>
        <v>#VALUE!</v>
      </c>
      <c r="BN5" t="e">
        <f>AND('2015'!BA35,"AAAAAEb/v0E=")</f>
        <v>#VALUE!</v>
      </c>
      <c r="BO5" t="e">
        <f>AND('2015'!BB35,"AAAAAEb/v0I=")</f>
        <v>#VALUE!</v>
      </c>
      <c r="BP5" t="e">
        <f>AND('2015'!BC35,"AAAAAEb/v0M=")</f>
        <v>#VALUE!</v>
      </c>
      <c r="BQ5" t="e">
        <f>AND('2015'!BD35,"AAAAAEb/v0Q=")</f>
        <v>#VALUE!</v>
      </c>
      <c r="BR5" t="e">
        <f>AND('2015'!BE35,"AAAAAEb/v0U=")</f>
        <v>#VALUE!</v>
      </c>
      <c r="BS5" t="e">
        <f>AND('2015'!BF35,"AAAAAEb/v0Y=")</f>
        <v>#VALUE!</v>
      </c>
      <c r="BT5" t="e">
        <f>AND('2015'!BG35,"AAAAAEb/v0c=")</f>
        <v>#VALUE!</v>
      </c>
      <c r="BU5" t="e">
        <f>AND('2015'!BH35,"AAAAAEb/v0g=")</f>
        <v>#VALUE!</v>
      </c>
      <c r="BV5" t="e">
        <f>AND('2015'!BI35,"AAAAAEb/v0k=")</f>
        <v>#VALUE!</v>
      </c>
      <c r="BW5" t="e">
        <f>AND('2015'!#REF!,"AAAAAEb/v0o=")</f>
        <v>#REF!</v>
      </c>
      <c r="BX5" t="e">
        <f>AND('2015'!BJ35,"AAAAAEb/v0s=")</f>
        <v>#VALUE!</v>
      </c>
      <c r="BY5" t="e">
        <f>AND('2015'!BK35,"AAAAAEb/v0w=")</f>
        <v>#VALUE!</v>
      </c>
      <c r="BZ5" t="e">
        <f>AND('2015'!BL35,"AAAAAEb/v00=")</f>
        <v>#VALUE!</v>
      </c>
      <c r="CA5" t="e">
        <f>AND('2015'!BM35,"AAAAAEb/v04=")</f>
        <v>#VALUE!</v>
      </c>
      <c r="CB5" t="e">
        <f>AND('2015'!BY35,"AAAAAEb/v08=")</f>
        <v>#VALUE!</v>
      </c>
      <c r="CC5">
        <f>IF('2015'!36:36,"AAAAAEb/v1A=",0)</f>
        <v>0</v>
      </c>
      <c r="CD5" t="e">
        <f>AND('2015'!A36,"AAAAAEb/v1E=")</f>
        <v>#VALUE!</v>
      </c>
      <c r="CE5" t="e">
        <f>AND('2015'!B36,"AAAAAEb/v1I=")</f>
        <v>#VALUE!</v>
      </c>
      <c r="CF5" t="e">
        <f>AND('2015'!C36,"AAAAAEb/v1M=")</f>
        <v>#VALUE!</v>
      </c>
      <c r="CG5" t="e">
        <f>AND('2015'!D36,"AAAAAEb/v1Q=")</f>
        <v>#VALUE!</v>
      </c>
      <c r="CH5" t="e">
        <f>AND('2015'!E36,"AAAAAEb/v1U=")</f>
        <v>#VALUE!</v>
      </c>
      <c r="CI5" t="e">
        <f>AND('2015'!F36,"AAAAAEb/v1Y=")</f>
        <v>#VALUE!</v>
      </c>
      <c r="CJ5" t="e">
        <f>AND('2015'!G36,"AAAAAEb/v1c=")</f>
        <v>#VALUE!</v>
      </c>
      <c r="CK5" t="e">
        <f>AND('2015'!H36,"AAAAAEb/v1g=")</f>
        <v>#VALUE!</v>
      </c>
      <c r="CL5" t="e">
        <f>AND('2015'!I36,"AAAAAEb/v1k=")</f>
        <v>#VALUE!</v>
      </c>
      <c r="CM5" t="e">
        <f>AND('2015'!J36,"AAAAAEb/v1o=")</f>
        <v>#VALUE!</v>
      </c>
      <c r="CN5" t="e">
        <f>AND('2015'!K36,"AAAAAEb/v1s=")</f>
        <v>#VALUE!</v>
      </c>
      <c r="CO5" t="e">
        <f>AND('2015'!L36,"AAAAAEb/v1w=")</f>
        <v>#VALUE!</v>
      </c>
      <c r="CP5" t="e">
        <f>AND('2015'!M36,"AAAAAEb/v10=")</f>
        <v>#VALUE!</v>
      </c>
      <c r="CQ5" t="e">
        <f>AND('2015'!N36,"AAAAAEb/v14=")</f>
        <v>#VALUE!</v>
      </c>
      <c r="CR5" t="e">
        <f>AND('2015'!O36,"AAAAAEb/v18=")</f>
        <v>#VALUE!</v>
      </c>
      <c r="CS5" t="e">
        <f>AND('2015'!P36,"AAAAAEb/v2A=")</f>
        <v>#VALUE!</v>
      </c>
      <c r="CT5" t="e">
        <f>AND('2015'!Q36,"AAAAAEb/v2E=")</f>
        <v>#VALUE!</v>
      </c>
      <c r="CU5" t="e">
        <f>AND('2015'!R36,"AAAAAEb/v2I=")</f>
        <v>#VALUE!</v>
      </c>
      <c r="CV5" t="e">
        <f>AND('2015'!S36,"AAAAAEb/v2M=")</f>
        <v>#VALUE!</v>
      </c>
      <c r="CW5" t="e">
        <f>AND('2015'!T36,"AAAAAEb/v2Q=")</f>
        <v>#VALUE!</v>
      </c>
      <c r="CX5" t="e">
        <f>AND('2015'!U36,"AAAAAEb/v2U=")</f>
        <v>#VALUE!</v>
      </c>
      <c r="CY5" t="e">
        <f>AND('2015'!V36,"AAAAAEb/v2Y=")</f>
        <v>#VALUE!</v>
      </c>
      <c r="CZ5" t="e">
        <f>AND('2015'!W36,"AAAAAEb/v2c=")</f>
        <v>#VALUE!</v>
      </c>
      <c r="DA5" t="e">
        <f>AND('2015'!X36,"AAAAAEb/v2g=")</f>
        <v>#VALUE!</v>
      </c>
      <c r="DB5" t="e">
        <f>AND('2015'!Y36,"AAAAAEb/v2k=")</f>
        <v>#VALUE!</v>
      </c>
      <c r="DC5" t="e">
        <f>AND('2015'!Z36,"AAAAAEb/v2o=")</f>
        <v>#VALUE!</v>
      </c>
      <c r="DD5" t="e">
        <f>AND('2015'!AA36,"AAAAAEb/v2s=")</f>
        <v>#VALUE!</v>
      </c>
      <c r="DE5" t="e">
        <f>AND('2015'!AB36,"AAAAAEb/v2w=")</f>
        <v>#VALUE!</v>
      </c>
      <c r="DF5" t="e">
        <f>AND('2015'!AC36,"AAAAAEb/v20=")</f>
        <v>#VALUE!</v>
      </c>
      <c r="DG5" t="e">
        <f>AND('2015'!AD36,"AAAAAEb/v24=")</f>
        <v>#VALUE!</v>
      </c>
      <c r="DH5" t="e">
        <f>AND('2015'!AE36,"AAAAAEb/v28=")</f>
        <v>#VALUE!</v>
      </c>
      <c r="DI5" t="e">
        <f>AND('2015'!AF36,"AAAAAEb/v3A=")</f>
        <v>#VALUE!</v>
      </c>
      <c r="DJ5" t="e">
        <f>AND('2015'!AG36,"AAAAAEb/v3E=")</f>
        <v>#VALUE!</v>
      </c>
      <c r="DK5" t="e">
        <f>AND('2015'!AH36,"AAAAAEb/v3I=")</f>
        <v>#VALUE!</v>
      </c>
      <c r="DL5" t="e">
        <f>AND('2015'!AI36,"AAAAAEb/v3M=")</f>
        <v>#VALUE!</v>
      </c>
      <c r="DM5" t="e">
        <f>AND('2015'!AJ36,"AAAAAEb/v3Q=")</f>
        <v>#VALUE!</v>
      </c>
      <c r="DN5" t="e">
        <f>AND('2015'!AK36,"AAAAAEb/v3U=")</f>
        <v>#VALUE!</v>
      </c>
      <c r="DO5" t="e">
        <f>AND('2015'!AL36,"AAAAAEb/v3Y=")</f>
        <v>#VALUE!</v>
      </c>
      <c r="DP5" t="e">
        <f>AND('2015'!AM36,"AAAAAEb/v3c=")</f>
        <v>#VALUE!</v>
      </c>
      <c r="DQ5" t="e">
        <f>AND('2015'!AN36,"AAAAAEb/v3g=")</f>
        <v>#VALUE!</v>
      </c>
      <c r="DR5" t="e">
        <f>AND('2015'!AO36,"AAAAAEb/v3k=")</f>
        <v>#VALUE!</v>
      </c>
      <c r="DS5" t="e">
        <f>AND('2015'!AP36,"AAAAAEb/v3o=")</f>
        <v>#VALUE!</v>
      </c>
      <c r="DT5" t="e">
        <f>AND('2015'!AQ36,"AAAAAEb/v3s=")</f>
        <v>#VALUE!</v>
      </c>
      <c r="DU5" t="e">
        <f>AND('2015'!AR36,"AAAAAEb/v3w=")</f>
        <v>#VALUE!</v>
      </c>
      <c r="DV5" t="e">
        <f>AND('2015'!AS36,"AAAAAEb/v30=")</f>
        <v>#VALUE!</v>
      </c>
      <c r="DW5" t="e">
        <f>AND('2015'!AT36,"AAAAAEb/v34=")</f>
        <v>#VALUE!</v>
      </c>
      <c r="DX5" t="e">
        <f>AND('2015'!#REF!,"AAAAAEb/v38=")</f>
        <v>#REF!</v>
      </c>
      <c r="DY5" t="e">
        <f>AND('2015'!AU36,"AAAAAEb/v4A=")</f>
        <v>#VALUE!</v>
      </c>
      <c r="DZ5" t="e">
        <f>AND('2015'!AV36,"AAAAAEb/v4E=")</f>
        <v>#VALUE!</v>
      </c>
      <c r="EA5" t="e">
        <f>AND('2015'!AW36,"AAAAAEb/v4I=")</f>
        <v>#VALUE!</v>
      </c>
      <c r="EB5" t="e">
        <f>AND('2015'!AX36,"AAAAAEb/v4M=")</f>
        <v>#VALUE!</v>
      </c>
      <c r="EC5" t="e">
        <f>AND('2015'!AY36,"AAAAAEb/v4Q=")</f>
        <v>#VALUE!</v>
      </c>
      <c r="ED5" t="e">
        <f>AND('2015'!AZ36,"AAAAAEb/v4U=")</f>
        <v>#VALUE!</v>
      </c>
      <c r="EE5" t="e">
        <f>AND('2015'!BA36,"AAAAAEb/v4Y=")</f>
        <v>#VALUE!</v>
      </c>
      <c r="EF5" t="e">
        <f>AND('2015'!BB36,"AAAAAEb/v4c=")</f>
        <v>#VALUE!</v>
      </c>
      <c r="EG5" t="e">
        <f>AND('2015'!BC36,"AAAAAEb/v4g=")</f>
        <v>#VALUE!</v>
      </c>
      <c r="EH5" t="e">
        <f>AND('2015'!BD36,"AAAAAEb/v4k=")</f>
        <v>#VALUE!</v>
      </c>
      <c r="EI5" t="e">
        <f>AND('2015'!BE36,"AAAAAEb/v4o=")</f>
        <v>#VALUE!</v>
      </c>
      <c r="EJ5" t="e">
        <f>AND('2015'!BF36,"AAAAAEb/v4s=")</f>
        <v>#VALUE!</v>
      </c>
      <c r="EK5" t="e">
        <f>AND('2015'!BG36,"AAAAAEb/v4w=")</f>
        <v>#VALUE!</v>
      </c>
      <c r="EL5" t="e">
        <f>AND('2015'!BH36,"AAAAAEb/v40=")</f>
        <v>#VALUE!</v>
      </c>
      <c r="EM5" t="e">
        <f>AND('2015'!BI36,"AAAAAEb/v44=")</f>
        <v>#VALUE!</v>
      </c>
      <c r="EN5" t="e">
        <f>AND('2015'!#REF!,"AAAAAEb/v48=")</f>
        <v>#REF!</v>
      </c>
      <c r="EO5" t="e">
        <f>AND('2015'!BJ36,"AAAAAEb/v5A=")</f>
        <v>#VALUE!</v>
      </c>
      <c r="EP5" t="e">
        <f>AND('2015'!BK36,"AAAAAEb/v5E=")</f>
        <v>#VALUE!</v>
      </c>
      <c r="EQ5" t="e">
        <f>AND('2015'!BL36,"AAAAAEb/v5I=")</f>
        <v>#VALUE!</v>
      </c>
      <c r="ER5" t="e">
        <f>AND('2015'!BM36,"AAAAAEb/v5M=")</f>
        <v>#VALUE!</v>
      </c>
      <c r="ES5" t="e">
        <f>AND('2015'!BY36,"AAAAAEb/v5Q=")</f>
        <v>#VALUE!</v>
      </c>
      <c r="ET5">
        <f>IF('2015'!37:37,"AAAAAEb/v5U=",0)</f>
        <v>0</v>
      </c>
      <c r="EU5" t="e">
        <f>AND('2015'!A37,"AAAAAEb/v5Y=")</f>
        <v>#VALUE!</v>
      </c>
      <c r="EV5" t="e">
        <f>AND('2015'!B37,"AAAAAEb/v5c=")</f>
        <v>#VALUE!</v>
      </c>
      <c r="EW5" t="e">
        <f>AND('2015'!C37,"AAAAAEb/v5g=")</f>
        <v>#VALUE!</v>
      </c>
      <c r="EX5" t="e">
        <f>AND('2015'!D37,"AAAAAEb/v5k=")</f>
        <v>#VALUE!</v>
      </c>
      <c r="EY5" t="e">
        <f>AND('2015'!E37,"AAAAAEb/v5o=")</f>
        <v>#VALUE!</v>
      </c>
      <c r="EZ5" t="e">
        <f>AND('2015'!F37,"AAAAAEb/v5s=")</f>
        <v>#VALUE!</v>
      </c>
      <c r="FA5" t="e">
        <f>AND('2015'!G37,"AAAAAEb/v5w=")</f>
        <v>#VALUE!</v>
      </c>
      <c r="FB5" t="e">
        <f>AND('2015'!H37,"AAAAAEb/v50=")</f>
        <v>#VALUE!</v>
      </c>
      <c r="FC5" t="e">
        <f>AND('2015'!I37,"AAAAAEb/v54=")</f>
        <v>#VALUE!</v>
      </c>
      <c r="FD5" t="e">
        <f>AND('2015'!J37,"AAAAAEb/v58=")</f>
        <v>#VALUE!</v>
      </c>
      <c r="FE5" t="e">
        <f>AND('2015'!K37,"AAAAAEb/v6A=")</f>
        <v>#VALUE!</v>
      </c>
      <c r="FF5" t="e">
        <f>AND('2015'!L37,"AAAAAEb/v6E=")</f>
        <v>#VALUE!</v>
      </c>
      <c r="FG5" t="e">
        <f>AND('2015'!M37,"AAAAAEb/v6I=")</f>
        <v>#VALUE!</v>
      </c>
      <c r="FH5" t="e">
        <f>AND('2015'!N37,"AAAAAEb/v6M=")</f>
        <v>#VALUE!</v>
      </c>
      <c r="FI5" t="e">
        <f>AND('2015'!O37,"AAAAAEb/v6Q=")</f>
        <v>#VALUE!</v>
      </c>
      <c r="FJ5" t="e">
        <f>AND('2015'!P37,"AAAAAEb/v6U=")</f>
        <v>#VALUE!</v>
      </c>
      <c r="FK5" t="e">
        <f>AND('2015'!Q37,"AAAAAEb/v6Y=")</f>
        <v>#VALUE!</v>
      </c>
      <c r="FL5" t="e">
        <f>AND('2015'!R37,"AAAAAEb/v6c=")</f>
        <v>#VALUE!</v>
      </c>
      <c r="FM5" t="e">
        <f>AND('2015'!S37,"AAAAAEb/v6g=")</f>
        <v>#VALUE!</v>
      </c>
      <c r="FN5" t="e">
        <f>AND('2015'!T37,"AAAAAEb/v6k=")</f>
        <v>#VALUE!</v>
      </c>
      <c r="FO5" t="e">
        <f>AND('2015'!U37,"AAAAAEb/v6o=")</f>
        <v>#VALUE!</v>
      </c>
      <c r="FP5" t="e">
        <f>AND('2015'!V37,"AAAAAEb/v6s=")</f>
        <v>#VALUE!</v>
      </c>
      <c r="FQ5" t="e">
        <f>AND('2015'!W37,"AAAAAEb/v6w=")</f>
        <v>#VALUE!</v>
      </c>
      <c r="FR5" t="e">
        <f>AND('2015'!X37,"AAAAAEb/v60=")</f>
        <v>#VALUE!</v>
      </c>
      <c r="FS5" t="e">
        <f>AND('2015'!Y37,"AAAAAEb/v64=")</f>
        <v>#VALUE!</v>
      </c>
      <c r="FT5" t="e">
        <f>AND('2015'!Z37,"AAAAAEb/v68=")</f>
        <v>#VALUE!</v>
      </c>
      <c r="FU5" t="e">
        <f>AND('2015'!AA37,"AAAAAEb/v7A=")</f>
        <v>#VALUE!</v>
      </c>
      <c r="FV5" t="e">
        <f>AND('2015'!AB37,"AAAAAEb/v7E=")</f>
        <v>#VALUE!</v>
      </c>
      <c r="FW5" t="e">
        <f>AND('2015'!AC37,"AAAAAEb/v7I=")</f>
        <v>#VALUE!</v>
      </c>
      <c r="FX5" t="e">
        <f>AND('2015'!AD37,"AAAAAEb/v7M=")</f>
        <v>#VALUE!</v>
      </c>
      <c r="FY5" t="e">
        <f>AND('2015'!AE37,"AAAAAEb/v7Q=")</f>
        <v>#VALUE!</v>
      </c>
      <c r="FZ5" t="e">
        <f>AND('2015'!AF37,"AAAAAEb/v7U=")</f>
        <v>#VALUE!</v>
      </c>
      <c r="GA5" t="e">
        <f>AND('2015'!AG37,"AAAAAEb/v7Y=")</f>
        <v>#VALUE!</v>
      </c>
      <c r="GB5" t="e">
        <f>AND('2015'!AH37,"AAAAAEb/v7c=")</f>
        <v>#VALUE!</v>
      </c>
      <c r="GC5" t="e">
        <f>AND('2015'!AI37,"AAAAAEb/v7g=")</f>
        <v>#VALUE!</v>
      </c>
      <c r="GD5" t="e">
        <f>AND('2015'!AJ37,"AAAAAEb/v7k=")</f>
        <v>#VALUE!</v>
      </c>
      <c r="GE5" t="e">
        <f>AND('2015'!AK37,"AAAAAEb/v7o=")</f>
        <v>#VALUE!</v>
      </c>
      <c r="GF5" t="e">
        <f>AND('2015'!AL37,"AAAAAEb/v7s=")</f>
        <v>#VALUE!</v>
      </c>
      <c r="GG5" t="e">
        <f>AND('2015'!AM37,"AAAAAEb/v7w=")</f>
        <v>#VALUE!</v>
      </c>
      <c r="GH5" t="e">
        <f>AND('2015'!AN37,"AAAAAEb/v70=")</f>
        <v>#VALUE!</v>
      </c>
      <c r="GI5" t="e">
        <f>AND('2015'!AO37,"AAAAAEb/v74=")</f>
        <v>#VALUE!</v>
      </c>
      <c r="GJ5" t="e">
        <f>AND('2015'!AP37,"AAAAAEb/v78=")</f>
        <v>#VALUE!</v>
      </c>
      <c r="GK5" t="e">
        <f>AND('2015'!AQ37,"AAAAAEb/v8A=")</f>
        <v>#VALUE!</v>
      </c>
      <c r="GL5" t="e">
        <f>AND('2015'!AR37,"AAAAAEb/v8E=")</f>
        <v>#VALUE!</v>
      </c>
      <c r="GM5" t="e">
        <f>AND('2015'!AS37,"AAAAAEb/v8I=")</f>
        <v>#VALUE!</v>
      </c>
      <c r="GN5" t="e">
        <f>AND('2015'!AT37,"AAAAAEb/v8M=")</f>
        <v>#VALUE!</v>
      </c>
      <c r="GO5" t="e">
        <f>AND('2015'!#REF!,"AAAAAEb/v8Q=")</f>
        <v>#REF!</v>
      </c>
      <c r="GP5" t="e">
        <f>AND('2015'!AU37,"AAAAAEb/v8U=")</f>
        <v>#VALUE!</v>
      </c>
      <c r="GQ5" t="e">
        <f>AND('2015'!AV37,"AAAAAEb/v8Y=")</f>
        <v>#VALUE!</v>
      </c>
      <c r="GR5" t="e">
        <f>AND('2015'!AW37,"AAAAAEb/v8c=")</f>
        <v>#VALUE!</v>
      </c>
      <c r="GS5" t="e">
        <f>AND('2015'!AX37,"AAAAAEb/v8g=")</f>
        <v>#VALUE!</v>
      </c>
      <c r="GT5" t="e">
        <f>AND('2015'!AY37,"AAAAAEb/v8k=")</f>
        <v>#VALUE!</v>
      </c>
      <c r="GU5" t="e">
        <f>AND('2015'!AZ37,"AAAAAEb/v8o=")</f>
        <v>#VALUE!</v>
      </c>
      <c r="GV5" t="e">
        <f>AND('2015'!BA37,"AAAAAEb/v8s=")</f>
        <v>#VALUE!</v>
      </c>
      <c r="GW5" t="e">
        <f>AND('2015'!BB37,"AAAAAEb/v8w=")</f>
        <v>#VALUE!</v>
      </c>
      <c r="GX5" t="e">
        <f>AND('2015'!BC37,"AAAAAEb/v80=")</f>
        <v>#VALUE!</v>
      </c>
      <c r="GY5" t="e">
        <f>AND('2015'!BD37,"AAAAAEb/v84=")</f>
        <v>#VALUE!</v>
      </c>
      <c r="GZ5" t="e">
        <f>AND('2015'!BE37,"AAAAAEb/v88=")</f>
        <v>#VALUE!</v>
      </c>
      <c r="HA5" t="e">
        <f>AND('2015'!BF37,"AAAAAEb/v9A=")</f>
        <v>#VALUE!</v>
      </c>
      <c r="HB5" t="e">
        <f>AND('2015'!BG37,"AAAAAEb/v9E=")</f>
        <v>#VALUE!</v>
      </c>
      <c r="HC5" t="e">
        <f>AND('2015'!BH37,"AAAAAEb/v9I=")</f>
        <v>#VALUE!</v>
      </c>
      <c r="HD5" t="e">
        <f>AND('2015'!BI37,"AAAAAEb/v9M=")</f>
        <v>#VALUE!</v>
      </c>
      <c r="HE5" t="e">
        <f>AND('2015'!#REF!,"AAAAAEb/v9Q=")</f>
        <v>#REF!</v>
      </c>
      <c r="HF5" t="e">
        <f>AND('2015'!BJ37,"AAAAAEb/v9U=")</f>
        <v>#VALUE!</v>
      </c>
      <c r="HG5" t="e">
        <f>AND('2015'!BK37,"AAAAAEb/v9Y=")</f>
        <v>#VALUE!</v>
      </c>
      <c r="HH5" t="e">
        <f>AND('2015'!BL37,"AAAAAEb/v9c=")</f>
        <v>#VALUE!</v>
      </c>
      <c r="HI5" t="e">
        <f>AND('2015'!BM37,"AAAAAEb/v9g=")</f>
        <v>#VALUE!</v>
      </c>
      <c r="HJ5" t="e">
        <f>AND('2015'!BY37,"AAAAAEb/v9k=")</f>
        <v>#VALUE!</v>
      </c>
      <c r="HK5">
        <f>IF('2015'!38:38,"AAAAAEb/v9o=",0)</f>
        <v>0</v>
      </c>
      <c r="HL5" t="e">
        <f>AND('2015'!A38,"AAAAAEb/v9s=")</f>
        <v>#VALUE!</v>
      </c>
      <c r="HM5" t="e">
        <f>AND('2015'!B38,"AAAAAEb/v9w=")</f>
        <v>#VALUE!</v>
      </c>
      <c r="HN5" t="e">
        <f>AND('2015'!C38,"AAAAAEb/v90=")</f>
        <v>#VALUE!</v>
      </c>
      <c r="HO5" t="e">
        <f>AND('2015'!D38,"AAAAAEb/v94=")</f>
        <v>#VALUE!</v>
      </c>
      <c r="HP5" t="e">
        <f>AND('2015'!E38,"AAAAAEb/v98=")</f>
        <v>#VALUE!</v>
      </c>
      <c r="HQ5" t="e">
        <f>AND('2015'!F38,"AAAAAEb/v+A=")</f>
        <v>#VALUE!</v>
      </c>
      <c r="HR5" t="e">
        <f>AND('2015'!G38,"AAAAAEb/v+E=")</f>
        <v>#VALUE!</v>
      </c>
      <c r="HS5" t="e">
        <f>AND('2015'!H38,"AAAAAEb/v+I=")</f>
        <v>#VALUE!</v>
      </c>
      <c r="HT5" t="e">
        <f>AND('2015'!I38,"AAAAAEb/v+M=")</f>
        <v>#VALUE!</v>
      </c>
      <c r="HU5" t="e">
        <f>AND('2015'!J38,"AAAAAEb/v+Q=")</f>
        <v>#VALUE!</v>
      </c>
      <c r="HV5" t="e">
        <f>AND('2015'!K38,"AAAAAEb/v+U=")</f>
        <v>#VALUE!</v>
      </c>
      <c r="HW5" t="e">
        <f>AND('2015'!L38,"AAAAAEb/v+Y=")</f>
        <v>#VALUE!</v>
      </c>
      <c r="HX5" t="e">
        <f>AND('2015'!M38,"AAAAAEb/v+c=")</f>
        <v>#VALUE!</v>
      </c>
      <c r="HY5" t="e">
        <f>AND('2015'!N38,"AAAAAEb/v+g=")</f>
        <v>#VALUE!</v>
      </c>
      <c r="HZ5" t="e">
        <f>AND('2015'!O38,"AAAAAEb/v+k=")</f>
        <v>#VALUE!</v>
      </c>
      <c r="IA5" t="e">
        <f>AND('2015'!P38,"AAAAAEb/v+o=")</f>
        <v>#VALUE!</v>
      </c>
      <c r="IB5" t="e">
        <f>AND('2015'!Q38,"AAAAAEb/v+s=")</f>
        <v>#VALUE!</v>
      </c>
      <c r="IC5" t="e">
        <f>AND('2015'!R38,"AAAAAEb/v+w=")</f>
        <v>#VALUE!</v>
      </c>
      <c r="ID5" t="e">
        <f>AND('2015'!S38,"AAAAAEb/v+0=")</f>
        <v>#VALUE!</v>
      </c>
      <c r="IE5" t="e">
        <f>AND('2015'!T38,"AAAAAEb/v+4=")</f>
        <v>#VALUE!</v>
      </c>
      <c r="IF5" t="e">
        <f>AND('2015'!U38,"AAAAAEb/v+8=")</f>
        <v>#VALUE!</v>
      </c>
      <c r="IG5" t="e">
        <f>AND('2015'!V38,"AAAAAEb/v/A=")</f>
        <v>#VALUE!</v>
      </c>
      <c r="IH5" t="e">
        <f>AND('2015'!W38,"AAAAAEb/v/E=")</f>
        <v>#VALUE!</v>
      </c>
      <c r="II5" t="e">
        <f>AND('2015'!X38,"AAAAAEb/v/I=")</f>
        <v>#VALUE!</v>
      </c>
      <c r="IJ5" t="e">
        <f>AND('2015'!Y38,"AAAAAEb/v/M=")</f>
        <v>#VALUE!</v>
      </c>
      <c r="IK5" t="e">
        <f>AND('2015'!Z38,"AAAAAEb/v/Q=")</f>
        <v>#VALUE!</v>
      </c>
      <c r="IL5" t="e">
        <f>AND('2015'!AA38,"AAAAAEb/v/U=")</f>
        <v>#VALUE!</v>
      </c>
      <c r="IM5" t="e">
        <f>AND('2015'!AB38,"AAAAAEb/v/Y=")</f>
        <v>#VALUE!</v>
      </c>
      <c r="IN5" t="e">
        <f>AND('2015'!AC38,"AAAAAEb/v/c=")</f>
        <v>#VALUE!</v>
      </c>
      <c r="IO5" t="e">
        <f>AND('2015'!AD38,"AAAAAEb/v/g=")</f>
        <v>#VALUE!</v>
      </c>
      <c r="IP5" t="e">
        <f>AND('2015'!AE38,"AAAAAEb/v/k=")</f>
        <v>#VALUE!</v>
      </c>
      <c r="IQ5" t="e">
        <f>AND('2015'!AF38,"AAAAAEb/v/o=")</f>
        <v>#VALUE!</v>
      </c>
      <c r="IR5" t="e">
        <f>AND('2015'!AG38,"AAAAAEb/v/s=")</f>
        <v>#VALUE!</v>
      </c>
      <c r="IS5" t="e">
        <f>AND('2015'!AH38,"AAAAAEb/v/w=")</f>
        <v>#VALUE!</v>
      </c>
      <c r="IT5" t="e">
        <f>AND('2015'!AI38,"AAAAAEb/v/0=")</f>
        <v>#VALUE!</v>
      </c>
      <c r="IU5" t="e">
        <f>AND('2015'!AJ38,"AAAAAEb/v/4=")</f>
        <v>#VALUE!</v>
      </c>
      <c r="IV5" t="e">
        <f>AND('2015'!AK38,"AAAAAEb/v/8=")</f>
        <v>#VALUE!</v>
      </c>
    </row>
    <row r="6" spans="1:256" x14ac:dyDescent="0.25">
      <c r="A6" t="e">
        <f>AND('2015'!AL38,"AAAAAF/njwA=")</f>
        <v>#VALUE!</v>
      </c>
      <c r="B6" t="e">
        <f>AND('2015'!AM38,"AAAAAF/njwE=")</f>
        <v>#VALUE!</v>
      </c>
      <c r="C6" t="e">
        <f>AND('2015'!AN38,"AAAAAF/njwI=")</f>
        <v>#VALUE!</v>
      </c>
      <c r="D6" t="e">
        <f>AND('2015'!AO38,"AAAAAF/njwM=")</f>
        <v>#VALUE!</v>
      </c>
      <c r="E6" t="e">
        <f>AND('2015'!AP38,"AAAAAF/njwQ=")</f>
        <v>#VALUE!</v>
      </c>
      <c r="F6" t="e">
        <f>AND('2015'!AQ38,"AAAAAF/njwU=")</f>
        <v>#VALUE!</v>
      </c>
      <c r="G6" t="e">
        <f>AND('2015'!AR38,"AAAAAF/njwY=")</f>
        <v>#VALUE!</v>
      </c>
      <c r="H6" t="e">
        <f>AND('2015'!AS38,"AAAAAF/njwc=")</f>
        <v>#VALUE!</v>
      </c>
      <c r="I6" t="e">
        <f>AND('2015'!AT38,"AAAAAF/njwg=")</f>
        <v>#VALUE!</v>
      </c>
      <c r="J6" t="e">
        <f>AND('2015'!#REF!,"AAAAAF/njwk=")</f>
        <v>#REF!</v>
      </c>
      <c r="K6" t="e">
        <f>AND('2015'!AU38,"AAAAAF/njwo=")</f>
        <v>#VALUE!</v>
      </c>
      <c r="L6" t="e">
        <f>AND('2015'!AV38,"AAAAAF/njws=")</f>
        <v>#VALUE!</v>
      </c>
      <c r="M6" t="e">
        <f>AND('2015'!AW38,"AAAAAF/njww=")</f>
        <v>#VALUE!</v>
      </c>
      <c r="N6" t="e">
        <f>AND('2015'!AX38,"AAAAAF/njw0=")</f>
        <v>#VALUE!</v>
      </c>
      <c r="O6" t="e">
        <f>AND('2015'!AY38,"AAAAAF/njw4=")</f>
        <v>#VALUE!</v>
      </c>
      <c r="P6" t="e">
        <f>AND('2015'!AZ38,"AAAAAF/njw8=")</f>
        <v>#VALUE!</v>
      </c>
      <c r="Q6" t="e">
        <f>AND('2015'!BA38,"AAAAAF/njxA=")</f>
        <v>#VALUE!</v>
      </c>
      <c r="R6" t="e">
        <f>AND('2015'!BB38,"AAAAAF/njxE=")</f>
        <v>#VALUE!</v>
      </c>
      <c r="S6" t="e">
        <f>AND('2015'!BC38,"AAAAAF/njxI=")</f>
        <v>#VALUE!</v>
      </c>
      <c r="T6" t="e">
        <f>AND('2015'!BD38,"AAAAAF/njxM=")</f>
        <v>#VALUE!</v>
      </c>
      <c r="U6" t="e">
        <f>AND('2015'!BE38,"AAAAAF/njxQ=")</f>
        <v>#VALUE!</v>
      </c>
      <c r="V6" t="e">
        <f>AND('2015'!BF38,"AAAAAF/njxU=")</f>
        <v>#VALUE!</v>
      </c>
      <c r="W6" t="e">
        <f>AND('2015'!BG38,"AAAAAF/njxY=")</f>
        <v>#VALUE!</v>
      </c>
      <c r="X6" t="e">
        <f>AND('2015'!BH38,"AAAAAF/njxc=")</f>
        <v>#VALUE!</v>
      </c>
      <c r="Y6" t="e">
        <f>AND('2015'!BI38,"AAAAAF/njxg=")</f>
        <v>#VALUE!</v>
      </c>
      <c r="Z6" t="e">
        <f>AND('2015'!#REF!,"AAAAAF/njxk=")</f>
        <v>#REF!</v>
      </c>
      <c r="AA6" t="e">
        <f>AND('2015'!BJ38,"AAAAAF/njxo=")</f>
        <v>#VALUE!</v>
      </c>
      <c r="AB6" t="e">
        <f>AND('2015'!BK38,"AAAAAF/njxs=")</f>
        <v>#VALUE!</v>
      </c>
      <c r="AC6" t="e">
        <f>AND('2015'!BL38,"AAAAAF/njxw=")</f>
        <v>#VALUE!</v>
      </c>
      <c r="AD6" t="e">
        <f>AND('2015'!BM38,"AAAAAF/njx0=")</f>
        <v>#VALUE!</v>
      </c>
      <c r="AE6" t="e">
        <f>AND('2015'!BY38,"AAAAAF/njx4=")</f>
        <v>#VALUE!</v>
      </c>
      <c r="AF6" t="str">
        <f>IF('2015'!39:39,"AAAAAF/njx8=",0)</f>
        <v>AAAAAF/njx8=</v>
      </c>
      <c r="AG6" t="e">
        <f>AND('2015'!A39,"AAAAAF/njyA=")</f>
        <v>#VALUE!</v>
      </c>
      <c r="AH6" t="e">
        <f>AND('2015'!B39,"AAAAAF/njyE=")</f>
        <v>#VALUE!</v>
      </c>
      <c r="AI6" t="e">
        <f>AND('2015'!C39,"AAAAAF/njyI=")</f>
        <v>#VALUE!</v>
      </c>
      <c r="AJ6" t="e">
        <f>AND('2015'!D39,"AAAAAF/njyM=")</f>
        <v>#VALUE!</v>
      </c>
      <c r="AK6" t="e">
        <f>AND('2015'!E39,"AAAAAF/njyQ=")</f>
        <v>#VALUE!</v>
      </c>
      <c r="AL6" t="e">
        <f>AND('2015'!F39,"AAAAAF/njyU=")</f>
        <v>#VALUE!</v>
      </c>
      <c r="AM6" t="e">
        <f>AND('2015'!G39,"AAAAAF/njyY=")</f>
        <v>#VALUE!</v>
      </c>
      <c r="AN6" t="e">
        <f>AND('2015'!H39,"AAAAAF/njyc=")</f>
        <v>#VALUE!</v>
      </c>
      <c r="AO6" t="e">
        <f>AND('2015'!I39,"AAAAAF/njyg=")</f>
        <v>#VALUE!</v>
      </c>
      <c r="AP6" t="e">
        <f>AND('2015'!J39,"AAAAAF/njyk=")</f>
        <v>#VALUE!</v>
      </c>
      <c r="AQ6" t="e">
        <f>AND('2015'!K39,"AAAAAF/njyo=")</f>
        <v>#VALUE!</v>
      </c>
      <c r="AR6" t="e">
        <f>AND('2015'!L39,"AAAAAF/njys=")</f>
        <v>#VALUE!</v>
      </c>
      <c r="AS6" t="e">
        <f>AND('2015'!M39,"AAAAAF/njyw=")</f>
        <v>#VALUE!</v>
      </c>
      <c r="AT6" t="e">
        <f>AND('2015'!N39,"AAAAAF/njy0=")</f>
        <v>#VALUE!</v>
      </c>
      <c r="AU6" t="e">
        <f>AND('2015'!O39,"AAAAAF/njy4=")</f>
        <v>#VALUE!</v>
      </c>
      <c r="AV6" t="e">
        <f>AND('2015'!P39,"AAAAAF/njy8=")</f>
        <v>#VALUE!</v>
      </c>
      <c r="AW6" t="e">
        <f>AND('2015'!Q39,"AAAAAF/njzA=")</f>
        <v>#VALUE!</v>
      </c>
      <c r="AX6" t="e">
        <f>AND('2015'!R39,"AAAAAF/njzE=")</f>
        <v>#VALUE!</v>
      </c>
      <c r="AY6" t="e">
        <f>AND('2015'!S39,"AAAAAF/njzI=")</f>
        <v>#VALUE!</v>
      </c>
      <c r="AZ6" t="e">
        <f>AND('2015'!T39,"AAAAAF/njzM=")</f>
        <v>#VALUE!</v>
      </c>
      <c r="BA6" t="e">
        <f>AND('2015'!U39,"AAAAAF/njzQ=")</f>
        <v>#VALUE!</v>
      </c>
      <c r="BB6" t="e">
        <f>AND('2015'!V39,"AAAAAF/njzU=")</f>
        <v>#VALUE!</v>
      </c>
      <c r="BC6" t="e">
        <f>AND('2015'!W39,"AAAAAF/njzY=")</f>
        <v>#VALUE!</v>
      </c>
      <c r="BD6" t="e">
        <f>AND('2015'!X39,"AAAAAF/njzc=")</f>
        <v>#VALUE!</v>
      </c>
      <c r="BE6" t="e">
        <f>AND('2015'!Y39,"AAAAAF/njzg=")</f>
        <v>#VALUE!</v>
      </c>
      <c r="BF6" t="e">
        <f>AND('2015'!Z39,"AAAAAF/njzk=")</f>
        <v>#VALUE!</v>
      </c>
      <c r="BG6" t="e">
        <f>AND('2015'!AA39,"AAAAAF/njzo=")</f>
        <v>#VALUE!</v>
      </c>
      <c r="BH6" t="e">
        <f>AND('2015'!AB39,"AAAAAF/njzs=")</f>
        <v>#VALUE!</v>
      </c>
      <c r="BI6" t="e">
        <f>AND('2015'!AC39,"AAAAAF/njzw=")</f>
        <v>#VALUE!</v>
      </c>
      <c r="BJ6" t="e">
        <f>AND('2015'!AD39,"AAAAAF/njz0=")</f>
        <v>#VALUE!</v>
      </c>
      <c r="BK6" t="e">
        <f>AND('2015'!AE39,"AAAAAF/njz4=")</f>
        <v>#VALUE!</v>
      </c>
      <c r="BL6" t="e">
        <f>AND('2015'!AF39,"AAAAAF/njz8=")</f>
        <v>#VALUE!</v>
      </c>
      <c r="BM6" t="e">
        <f>AND('2015'!AG39,"AAAAAF/nj0A=")</f>
        <v>#VALUE!</v>
      </c>
      <c r="BN6" t="e">
        <f>AND('2015'!AH39,"AAAAAF/nj0E=")</f>
        <v>#VALUE!</v>
      </c>
      <c r="BO6" t="e">
        <f>AND('2015'!AI39,"AAAAAF/nj0I=")</f>
        <v>#VALUE!</v>
      </c>
      <c r="BP6" t="e">
        <f>AND('2015'!AJ39,"AAAAAF/nj0M=")</f>
        <v>#VALUE!</v>
      </c>
      <c r="BQ6" t="e">
        <f>AND('2015'!AK39,"AAAAAF/nj0Q=")</f>
        <v>#VALUE!</v>
      </c>
      <c r="BR6" t="e">
        <f>AND('2015'!AL39,"AAAAAF/nj0U=")</f>
        <v>#VALUE!</v>
      </c>
      <c r="BS6" t="e">
        <f>AND('2015'!AM39,"AAAAAF/nj0Y=")</f>
        <v>#VALUE!</v>
      </c>
      <c r="BT6" t="e">
        <f>AND('2015'!AN39,"AAAAAF/nj0c=")</f>
        <v>#VALUE!</v>
      </c>
      <c r="BU6" t="e">
        <f>AND('2015'!AO39,"AAAAAF/nj0g=")</f>
        <v>#VALUE!</v>
      </c>
      <c r="BV6" t="e">
        <f>AND('2015'!AP39,"AAAAAF/nj0k=")</f>
        <v>#VALUE!</v>
      </c>
      <c r="BW6" t="e">
        <f>AND('2015'!AQ39,"AAAAAF/nj0o=")</f>
        <v>#VALUE!</v>
      </c>
      <c r="BX6" t="e">
        <f>AND('2015'!AR39,"AAAAAF/nj0s=")</f>
        <v>#VALUE!</v>
      </c>
      <c r="BY6" t="e">
        <f>AND('2015'!AS39,"AAAAAF/nj0w=")</f>
        <v>#VALUE!</v>
      </c>
      <c r="BZ6" t="e">
        <f>AND('2015'!AT39,"AAAAAF/nj00=")</f>
        <v>#VALUE!</v>
      </c>
      <c r="CA6" t="e">
        <f>AND('2015'!#REF!,"AAAAAF/nj04=")</f>
        <v>#REF!</v>
      </c>
      <c r="CB6" t="e">
        <f>AND('2015'!AU39,"AAAAAF/nj08=")</f>
        <v>#VALUE!</v>
      </c>
      <c r="CC6" t="e">
        <f>AND('2015'!AV39,"AAAAAF/nj1A=")</f>
        <v>#VALUE!</v>
      </c>
      <c r="CD6" t="e">
        <f>AND('2015'!AW39,"AAAAAF/nj1E=")</f>
        <v>#VALUE!</v>
      </c>
      <c r="CE6" t="e">
        <f>AND('2015'!AX39,"AAAAAF/nj1I=")</f>
        <v>#VALUE!</v>
      </c>
      <c r="CF6" t="e">
        <f>AND('2015'!AY39,"AAAAAF/nj1M=")</f>
        <v>#VALUE!</v>
      </c>
      <c r="CG6" t="e">
        <f>AND('2015'!AZ39,"AAAAAF/nj1Q=")</f>
        <v>#VALUE!</v>
      </c>
      <c r="CH6" t="e">
        <f>AND('2015'!BA39,"AAAAAF/nj1U=")</f>
        <v>#VALUE!</v>
      </c>
      <c r="CI6" t="e">
        <f>AND('2015'!BB39,"AAAAAF/nj1Y=")</f>
        <v>#VALUE!</v>
      </c>
      <c r="CJ6" t="e">
        <f>AND('2015'!BC39,"AAAAAF/nj1c=")</f>
        <v>#VALUE!</v>
      </c>
      <c r="CK6" t="e">
        <f>AND('2015'!BD39,"AAAAAF/nj1g=")</f>
        <v>#VALUE!</v>
      </c>
      <c r="CL6" t="e">
        <f>AND('2015'!BE39,"AAAAAF/nj1k=")</f>
        <v>#VALUE!</v>
      </c>
      <c r="CM6" t="e">
        <f>AND('2015'!BF39,"AAAAAF/nj1o=")</f>
        <v>#VALUE!</v>
      </c>
      <c r="CN6" t="e">
        <f>AND('2015'!BG39,"AAAAAF/nj1s=")</f>
        <v>#VALUE!</v>
      </c>
      <c r="CO6" t="e">
        <f>AND('2015'!BH39,"AAAAAF/nj1w=")</f>
        <v>#VALUE!</v>
      </c>
      <c r="CP6" t="e">
        <f>AND('2015'!BI39,"AAAAAF/nj10=")</f>
        <v>#VALUE!</v>
      </c>
      <c r="CQ6" t="e">
        <f>AND('2015'!#REF!,"AAAAAF/nj14=")</f>
        <v>#REF!</v>
      </c>
      <c r="CR6" t="e">
        <f>AND('2015'!BJ39,"AAAAAF/nj18=")</f>
        <v>#VALUE!</v>
      </c>
      <c r="CS6" t="e">
        <f>AND('2015'!BK39,"AAAAAF/nj2A=")</f>
        <v>#VALUE!</v>
      </c>
      <c r="CT6" t="e">
        <f>AND('2015'!BL39,"AAAAAF/nj2E=")</f>
        <v>#VALUE!</v>
      </c>
      <c r="CU6" t="e">
        <f>AND('2015'!BM39,"AAAAAF/nj2I=")</f>
        <v>#VALUE!</v>
      </c>
      <c r="CV6" t="e">
        <f>AND('2015'!BY39,"AAAAAF/nj2M=")</f>
        <v>#VALUE!</v>
      </c>
      <c r="CW6">
        <f>IF('2015'!40:40,"AAAAAF/nj2Q=",0)</f>
        <v>0</v>
      </c>
      <c r="CX6" t="e">
        <f>AND('2015'!A40,"AAAAAF/nj2U=")</f>
        <v>#VALUE!</v>
      </c>
      <c r="CY6" t="e">
        <f>AND('2015'!B40,"AAAAAF/nj2Y=")</f>
        <v>#VALUE!</v>
      </c>
      <c r="CZ6" t="e">
        <f>AND('2015'!C40,"AAAAAF/nj2c=")</f>
        <v>#VALUE!</v>
      </c>
      <c r="DA6" t="e">
        <f>AND('2015'!D40,"AAAAAF/nj2g=")</f>
        <v>#VALUE!</v>
      </c>
      <c r="DB6" t="e">
        <f>AND('2015'!E40,"AAAAAF/nj2k=")</f>
        <v>#VALUE!</v>
      </c>
      <c r="DC6" t="e">
        <f>AND('2015'!F40,"AAAAAF/nj2o=")</f>
        <v>#VALUE!</v>
      </c>
      <c r="DD6" t="e">
        <f>AND('2015'!G40,"AAAAAF/nj2s=")</f>
        <v>#VALUE!</v>
      </c>
      <c r="DE6" t="e">
        <f>AND('2015'!H40,"AAAAAF/nj2w=")</f>
        <v>#VALUE!</v>
      </c>
      <c r="DF6" t="e">
        <f>AND('2015'!I40,"AAAAAF/nj20=")</f>
        <v>#VALUE!</v>
      </c>
      <c r="DG6" t="e">
        <f>AND('2015'!J40,"AAAAAF/nj24=")</f>
        <v>#VALUE!</v>
      </c>
      <c r="DH6" t="e">
        <f>AND('2015'!K40,"AAAAAF/nj28=")</f>
        <v>#VALUE!</v>
      </c>
      <c r="DI6" t="e">
        <f>AND('2015'!L40,"AAAAAF/nj3A=")</f>
        <v>#VALUE!</v>
      </c>
      <c r="DJ6" t="e">
        <f>AND('2015'!M40,"AAAAAF/nj3E=")</f>
        <v>#VALUE!</v>
      </c>
      <c r="DK6" t="e">
        <f>AND('2015'!N40,"AAAAAF/nj3I=")</f>
        <v>#VALUE!</v>
      </c>
      <c r="DL6" t="e">
        <f>AND('2015'!O40,"AAAAAF/nj3M=")</f>
        <v>#VALUE!</v>
      </c>
      <c r="DM6" t="e">
        <f>AND('2015'!P40,"AAAAAF/nj3Q=")</f>
        <v>#VALUE!</v>
      </c>
      <c r="DN6" t="e">
        <f>AND('2015'!Q40,"AAAAAF/nj3U=")</f>
        <v>#VALUE!</v>
      </c>
      <c r="DO6" t="e">
        <f>AND('2015'!R40,"AAAAAF/nj3Y=")</f>
        <v>#VALUE!</v>
      </c>
      <c r="DP6" t="e">
        <f>AND('2015'!S40,"AAAAAF/nj3c=")</f>
        <v>#VALUE!</v>
      </c>
      <c r="DQ6" t="e">
        <f>AND('2015'!T40,"AAAAAF/nj3g=")</f>
        <v>#VALUE!</v>
      </c>
      <c r="DR6" t="e">
        <f>AND('2015'!U40,"AAAAAF/nj3k=")</f>
        <v>#VALUE!</v>
      </c>
      <c r="DS6" t="e">
        <f>AND('2015'!V40,"AAAAAF/nj3o=")</f>
        <v>#VALUE!</v>
      </c>
      <c r="DT6" t="e">
        <f>AND('2015'!W40,"AAAAAF/nj3s=")</f>
        <v>#VALUE!</v>
      </c>
      <c r="DU6" t="e">
        <f>AND('2015'!X40,"AAAAAF/nj3w=")</f>
        <v>#VALUE!</v>
      </c>
      <c r="DV6" t="e">
        <f>AND('2015'!Y40,"AAAAAF/nj30=")</f>
        <v>#VALUE!</v>
      </c>
      <c r="DW6" t="e">
        <f>AND('2015'!Z40,"AAAAAF/nj34=")</f>
        <v>#VALUE!</v>
      </c>
      <c r="DX6" t="e">
        <f>AND('2015'!AA40,"AAAAAF/nj38=")</f>
        <v>#VALUE!</v>
      </c>
      <c r="DY6" t="e">
        <f>AND('2015'!AB40,"AAAAAF/nj4A=")</f>
        <v>#VALUE!</v>
      </c>
      <c r="DZ6" t="e">
        <f>AND('2015'!AC40,"AAAAAF/nj4E=")</f>
        <v>#VALUE!</v>
      </c>
      <c r="EA6" t="e">
        <f>AND('2015'!AD40,"AAAAAF/nj4I=")</f>
        <v>#VALUE!</v>
      </c>
      <c r="EB6" t="e">
        <f>AND('2015'!AE40,"AAAAAF/nj4M=")</f>
        <v>#VALUE!</v>
      </c>
      <c r="EC6" t="e">
        <f>AND('2015'!AF40,"AAAAAF/nj4Q=")</f>
        <v>#VALUE!</v>
      </c>
      <c r="ED6" t="e">
        <f>AND('2015'!AG40,"AAAAAF/nj4U=")</f>
        <v>#VALUE!</v>
      </c>
      <c r="EE6" t="e">
        <f>AND('2015'!AH40,"AAAAAF/nj4Y=")</f>
        <v>#VALUE!</v>
      </c>
      <c r="EF6" t="e">
        <f>AND('2015'!AI40,"AAAAAF/nj4c=")</f>
        <v>#VALUE!</v>
      </c>
      <c r="EG6" t="e">
        <f>AND('2015'!AJ40,"AAAAAF/nj4g=")</f>
        <v>#VALUE!</v>
      </c>
      <c r="EH6" t="e">
        <f>AND('2015'!AK40,"AAAAAF/nj4k=")</f>
        <v>#VALUE!</v>
      </c>
      <c r="EI6" t="e">
        <f>AND('2015'!AL40,"AAAAAF/nj4o=")</f>
        <v>#VALUE!</v>
      </c>
      <c r="EJ6" t="e">
        <f>AND('2015'!AM40,"AAAAAF/nj4s=")</f>
        <v>#VALUE!</v>
      </c>
      <c r="EK6" t="e">
        <f>AND('2015'!AN40,"AAAAAF/nj4w=")</f>
        <v>#VALUE!</v>
      </c>
      <c r="EL6" t="e">
        <f>AND('2015'!AO40,"AAAAAF/nj40=")</f>
        <v>#VALUE!</v>
      </c>
      <c r="EM6" t="e">
        <f>AND('2015'!AP40,"AAAAAF/nj44=")</f>
        <v>#VALUE!</v>
      </c>
      <c r="EN6" t="e">
        <f>AND('2015'!AQ40,"AAAAAF/nj48=")</f>
        <v>#VALUE!</v>
      </c>
      <c r="EO6" t="e">
        <f>AND('2015'!AR40,"AAAAAF/nj5A=")</f>
        <v>#VALUE!</v>
      </c>
      <c r="EP6" t="e">
        <f>AND('2015'!AS40,"AAAAAF/nj5E=")</f>
        <v>#VALUE!</v>
      </c>
      <c r="EQ6" t="e">
        <f>AND('2015'!AT40,"AAAAAF/nj5I=")</f>
        <v>#VALUE!</v>
      </c>
      <c r="ER6" t="e">
        <f>AND('2015'!#REF!,"AAAAAF/nj5M=")</f>
        <v>#REF!</v>
      </c>
      <c r="ES6" t="e">
        <f>AND('2015'!AU40,"AAAAAF/nj5Q=")</f>
        <v>#VALUE!</v>
      </c>
      <c r="ET6" t="e">
        <f>AND('2015'!AV40,"AAAAAF/nj5U=")</f>
        <v>#VALUE!</v>
      </c>
      <c r="EU6" t="e">
        <f>AND('2015'!AW40,"AAAAAF/nj5Y=")</f>
        <v>#VALUE!</v>
      </c>
      <c r="EV6" t="e">
        <f>AND('2015'!AX40,"AAAAAF/nj5c=")</f>
        <v>#VALUE!</v>
      </c>
      <c r="EW6" t="e">
        <f>AND('2015'!AY40,"AAAAAF/nj5g=")</f>
        <v>#VALUE!</v>
      </c>
      <c r="EX6" t="e">
        <f>AND('2015'!AZ40,"AAAAAF/nj5k=")</f>
        <v>#VALUE!</v>
      </c>
      <c r="EY6" t="e">
        <f>AND('2015'!BA40,"AAAAAF/nj5o=")</f>
        <v>#VALUE!</v>
      </c>
      <c r="EZ6" t="e">
        <f>AND('2015'!BB40,"AAAAAF/nj5s=")</f>
        <v>#VALUE!</v>
      </c>
      <c r="FA6" t="e">
        <f>AND('2015'!BC40,"AAAAAF/nj5w=")</f>
        <v>#VALUE!</v>
      </c>
      <c r="FB6" t="e">
        <f>AND('2015'!BD40,"AAAAAF/nj50=")</f>
        <v>#VALUE!</v>
      </c>
      <c r="FC6" t="e">
        <f>AND('2015'!BE40,"AAAAAF/nj54=")</f>
        <v>#VALUE!</v>
      </c>
      <c r="FD6" t="e">
        <f>AND('2015'!BF40,"AAAAAF/nj58=")</f>
        <v>#VALUE!</v>
      </c>
      <c r="FE6" t="e">
        <f>AND('2015'!BG40,"AAAAAF/nj6A=")</f>
        <v>#VALUE!</v>
      </c>
      <c r="FF6" t="e">
        <f>AND('2015'!BH40,"AAAAAF/nj6E=")</f>
        <v>#VALUE!</v>
      </c>
      <c r="FG6" t="e">
        <f>AND('2015'!BI40,"AAAAAF/nj6I=")</f>
        <v>#VALUE!</v>
      </c>
      <c r="FH6" t="e">
        <f>AND('2015'!#REF!,"AAAAAF/nj6M=")</f>
        <v>#REF!</v>
      </c>
      <c r="FI6" t="e">
        <f>AND('2015'!BJ40,"AAAAAF/nj6Q=")</f>
        <v>#VALUE!</v>
      </c>
      <c r="FJ6" t="e">
        <f>AND('2015'!BK40,"AAAAAF/nj6U=")</f>
        <v>#VALUE!</v>
      </c>
      <c r="FK6" t="e">
        <f>AND('2015'!BL40,"AAAAAF/nj6Y=")</f>
        <v>#VALUE!</v>
      </c>
      <c r="FL6" t="e">
        <f>AND('2015'!BM40,"AAAAAF/nj6c=")</f>
        <v>#VALUE!</v>
      </c>
      <c r="FM6" t="e">
        <f>AND('2015'!BY40,"AAAAAF/nj6g=")</f>
        <v>#VALUE!</v>
      </c>
      <c r="FN6">
        <f>IF('2015'!41:41,"AAAAAF/nj6k=",0)</f>
        <v>0</v>
      </c>
      <c r="FO6" t="e">
        <f>AND('2015'!A41,"AAAAAF/nj6o=")</f>
        <v>#VALUE!</v>
      </c>
      <c r="FP6" t="e">
        <f>AND('2015'!B41,"AAAAAF/nj6s=")</f>
        <v>#VALUE!</v>
      </c>
      <c r="FQ6" t="e">
        <f>AND('2015'!C79,"AAAAAF/nj6w=")</f>
        <v>#VALUE!</v>
      </c>
      <c r="FR6" t="e">
        <f>AND('2015'!D41,"AAAAAF/nj60=")</f>
        <v>#VALUE!</v>
      </c>
      <c r="FS6" t="e">
        <f>AND('2015'!E41,"AAAAAF/nj64=")</f>
        <v>#VALUE!</v>
      </c>
      <c r="FT6" t="e">
        <f>AND('2015'!F41,"AAAAAF/nj68=")</f>
        <v>#VALUE!</v>
      </c>
      <c r="FU6" t="e">
        <f>AND('2015'!G41,"AAAAAF/nj7A=")</f>
        <v>#VALUE!</v>
      </c>
      <c r="FV6" t="e">
        <f>AND('2015'!H41,"AAAAAF/nj7E=")</f>
        <v>#VALUE!</v>
      </c>
      <c r="FW6" t="e">
        <f>AND('2015'!I41,"AAAAAF/nj7I=")</f>
        <v>#VALUE!</v>
      </c>
      <c r="FX6" t="e">
        <f>AND('2015'!J41,"AAAAAF/nj7M=")</f>
        <v>#VALUE!</v>
      </c>
      <c r="FY6" t="e">
        <f>AND('2015'!K41,"AAAAAF/nj7Q=")</f>
        <v>#VALUE!</v>
      </c>
      <c r="FZ6" t="e">
        <f>AND('2015'!L41,"AAAAAF/nj7U=")</f>
        <v>#VALUE!</v>
      </c>
      <c r="GA6" t="e">
        <f>AND('2015'!M41,"AAAAAF/nj7Y=")</f>
        <v>#VALUE!</v>
      </c>
      <c r="GB6" t="e">
        <f>AND('2015'!N41,"AAAAAF/nj7c=")</f>
        <v>#VALUE!</v>
      </c>
      <c r="GC6" t="e">
        <f>AND('2015'!O41,"AAAAAF/nj7g=")</f>
        <v>#VALUE!</v>
      </c>
      <c r="GD6" t="e">
        <f>AND('2015'!P41,"AAAAAF/nj7k=")</f>
        <v>#VALUE!</v>
      </c>
      <c r="GE6" t="e">
        <f>AND('2015'!Q41,"AAAAAF/nj7o=")</f>
        <v>#VALUE!</v>
      </c>
      <c r="GF6" t="e">
        <f>AND('2015'!R41,"AAAAAF/nj7s=")</f>
        <v>#VALUE!</v>
      </c>
      <c r="GG6" t="e">
        <f>AND('2015'!S41,"AAAAAF/nj7w=")</f>
        <v>#VALUE!</v>
      </c>
      <c r="GH6" t="e">
        <f>AND('2015'!T41,"AAAAAF/nj70=")</f>
        <v>#VALUE!</v>
      </c>
      <c r="GI6" t="e">
        <f>AND('2015'!U41,"AAAAAF/nj74=")</f>
        <v>#VALUE!</v>
      </c>
      <c r="GJ6" t="e">
        <f>AND('2015'!V41,"AAAAAF/nj78=")</f>
        <v>#VALUE!</v>
      </c>
      <c r="GK6" t="e">
        <f>AND('2015'!W41,"AAAAAF/nj8A=")</f>
        <v>#VALUE!</v>
      </c>
      <c r="GL6" t="e">
        <f>AND('2015'!X41,"AAAAAF/nj8E=")</f>
        <v>#VALUE!</v>
      </c>
      <c r="GM6" t="e">
        <f>AND('2015'!Y41,"AAAAAF/nj8I=")</f>
        <v>#VALUE!</v>
      </c>
      <c r="GN6" t="e">
        <f>AND('2015'!Z41,"AAAAAF/nj8M=")</f>
        <v>#VALUE!</v>
      </c>
      <c r="GO6" t="e">
        <f>AND('2015'!AA41,"AAAAAF/nj8Q=")</f>
        <v>#VALUE!</v>
      </c>
      <c r="GP6" t="e">
        <f>AND('2015'!AB41,"AAAAAF/nj8U=")</f>
        <v>#VALUE!</v>
      </c>
      <c r="GQ6" t="e">
        <f>AND('2015'!AC41,"AAAAAF/nj8Y=")</f>
        <v>#VALUE!</v>
      </c>
      <c r="GR6" t="e">
        <f>AND('2015'!AD41,"AAAAAF/nj8c=")</f>
        <v>#VALUE!</v>
      </c>
      <c r="GS6" t="e">
        <f>AND('2015'!AE41,"AAAAAF/nj8g=")</f>
        <v>#VALUE!</v>
      </c>
      <c r="GT6" t="e">
        <f>AND('2015'!AF41,"AAAAAF/nj8k=")</f>
        <v>#VALUE!</v>
      </c>
      <c r="GU6" t="e">
        <f>AND('2015'!AG41,"AAAAAF/nj8o=")</f>
        <v>#VALUE!</v>
      </c>
      <c r="GV6" t="e">
        <f>AND('2015'!AH41,"AAAAAF/nj8s=")</f>
        <v>#VALUE!</v>
      </c>
      <c r="GW6" t="e">
        <f>AND('2015'!AI41,"AAAAAF/nj8w=")</f>
        <v>#VALUE!</v>
      </c>
      <c r="GX6" t="e">
        <f>AND('2015'!AJ41,"AAAAAF/nj80=")</f>
        <v>#VALUE!</v>
      </c>
      <c r="GY6" t="e">
        <f>AND('2015'!AK41,"AAAAAF/nj84=")</f>
        <v>#VALUE!</v>
      </c>
      <c r="GZ6" t="e">
        <f>AND('2015'!AL41,"AAAAAF/nj88=")</f>
        <v>#VALUE!</v>
      </c>
      <c r="HA6" t="e">
        <f>AND('2015'!AM41,"AAAAAF/nj9A=")</f>
        <v>#VALUE!</v>
      </c>
      <c r="HB6" t="e">
        <f>AND('2015'!AN41,"AAAAAF/nj9E=")</f>
        <v>#VALUE!</v>
      </c>
      <c r="HC6" t="e">
        <f>AND('2015'!AO41,"AAAAAF/nj9I=")</f>
        <v>#VALUE!</v>
      </c>
      <c r="HD6" t="e">
        <f>AND('2015'!AP41,"AAAAAF/nj9M=")</f>
        <v>#VALUE!</v>
      </c>
      <c r="HE6" t="e">
        <f>AND('2015'!AQ41,"AAAAAF/nj9Q=")</f>
        <v>#VALUE!</v>
      </c>
      <c r="HF6" t="e">
        <f>AND('2015'!AR41,"AAAAAF/nj9U=")</f>
        <v>#VALUE!</v>
      </c>
      <c r="HG6" t="e">
        <f>AND('2015'!AS41,"AAAAAF/nj9Y=")</f>
        <v>#VALUE!</v>
      </c>
      <c r="HH6" t="e">
        <f>AND('2015'!AT41,"AAAAAF/nj9c=")</f>
        <v>#VALUE!</v>
      </c>
      <c r="HI6" t="e">
        <f>AND('2015'!#REF!,"AAAAAF/nj9g=")</f>
        <v>#REF!</v>
      </c>
      <c r="HJ6" t="e">
        <f>AND('2015'!AU41,"AAAAAF/nj9k=")</f>
        <v>#VALUE!</v>
      </c>
      <c r="HK6" t="e">
        <f>AND('2015'!AV41,"AAAAAF/nj9o=")</f>
        <v>#VALUE!</v>
      </c>
      <c r="HL6" t="e">
        <f>AND('2015'!AW41,"AAAAAF/nj9s=")</f>
        <v>#VALUE!</v>
      </c>
      <c r="HM6" t="e">
        <f>AND('2015'!AX41,"AAAAAF/nj9w=")</f>
        <v>#VALUE!</v>
      </c>
      <c r="HN6" t="e">
        <f>AND('2015'!AY41,"AAAAAF/nj90=")</f>
        <v>#VALUE!</v>
      </c>
      <c r="HO6" t="e">
        <f>AND('2015'!AZ41,"AAAAAF/nj94=")</f>
        <v>#VALUE!</v>
      </c>
      <c r="HP6" t="e">
        <f>AND('2015'!BA41,"AAAAAF/nj98=")</f>
        <v>#VALUE!</v>
      </c>
      <c r="HQ6" t="e">
        <f>AND('2015'!BB41,"AAAAAF/nj+A=")</f>
        <v>#VALUE!</v>
      </c>
      <c r="HR6" t="e">
        <f>AND('2015'!BC41,"AAAAAF/nj+E=")</f>
        <v>#VALUE!</v>
      </c>
      <c r="HS6" t="e">
        <f>AND('2015'!BD41,"AAAAAF/nj+I=")</f>
        <v>#VALUE!</v>
      </c>
      <c r="HT6" t="e">
        <f>AND('2015'!BE41,"AAAAAF/nj+M=")</f>
        <v>#VALUE!</v>
      </c>
      <c r="HU6" t="e">
        <f>AND('2015'!BF41,"AAAAAF/nj+Q=")</f>
        <v>#VALUE!</v>
      </c>
      <c r="HV6" t="e">
        <f>AND('2015'!BG41,"AAAAAF/nj+U=")</f>
        <v>#VALUE!</v>
      </c>
      <c r="HW6" t="e">
        <f>AND('2015'!BH41,"AAAAAF/nj+Y=")</f>
        <v>#VALUE!</v>
      </c>
      <c r="HX6" t="e">
        <f>AND('2015'!BI41,"AAAAAF/nj+c=")</f>
        <v>#VALUE!</v>
      </c>
      <c r="HY6" t="e">
        <f>AND('2015'!#REF!,"AAAAAF/nj+g=")</f>
        <v>#REF!</v>
      </c>
      <c r="HZ6" t="e">
        <f>AND('2015'!BJ41,"AAAAAF/nj+k=")</f>
        <v>#VALUE!</v>
      </c>
      <c r="IA6" t="e">
        <f>AND('2015'!BK41,"AAAAAF/nj+o=")</f>
        <v>#VALUE!</v>
      </c>
      <c r="IB6" t="e">
        <f>AND('2015'!BL41,"AAAAAF/nj+s=")</f>
        <v>#VALUE!</v>
      </c>
      <c r="IC6" t="e">
        <f>AND('2015'!BM41,"AAAAAF/nj+w=")</f>
        <v>#VALUE!</v>
      </c>
      <c r="ID6" t="e">
        <f>AND('2015'!BY41,"AAAAAF/nj+0=")</f>
        <v>#VALUE!</v>
      </c>
      <c r="IE6">
        <f>IF('2015'!42:42,"AAAAAF/nj+4=",0)</f>
        <v>0</v>
      </c>
      <c r="IF6" t="e">
        <f>AND('2015'!A42,"AAAAAF/nj+8=")</f>
        <v>#VALUE!</v>
      </c>
      <c r="IG6" t="e">
        <f>AND('2015'!B42,"AAAAAF/nj/A=")</f>
        <v>#VALUE!</v>
      </c>
      <c r="IH6" t="e">
        <f>AND('2015'!C42,"AAAAAF/nj/E=")</f>
        <v>#VALUE!</v>
      </c>
      <c r="II6" t="e">
        <f>AND('2015'!D42,"AAAAAF/nj/I=")</f>
        <v>#VALUE!</v>
      </c>
      <c r="IJ6" t="e">
        <f>AND('2015'!E42,"AAAAAF/nj/M=")</f>
        <v>#VALUE!</v>
      </c>
      <c r="IK6" t="e">
        <f>AND('2015'!F42,"AAAAAF/nj/Q=")</f>
        <v>#VALUE!</v>
      </c>
      <c r="IL6" t="e">
        <f>AND('2015'!G42,"AAAAAF/nj/U=")</f>
        <v>#VALUE!</v>
      </c>
      <c r="IM6" t="e">
        <f>AND('2015'!H42,"AAAAAF/nj/Y=")</f>
        <v>#VALUE!</v>
      </c>
      <c r="IN6" t="e">
        <f>AND('2015'!I42,"AAAAAF/nj/c=")</f>
        <v>#VALUE!</v>
      </c>
      <c r="IO6" t="e">
        <f>AND('2015'!J42,"AAAAAF/nj/g=")</f>
        <v>#VALUE!</v>
      </c>
      <c r="IP6" t="e">
        <f>AND('2015'!K42,"AAAAAF/nj/k=")</f>
        <v>#VALUE!</v>
      </c>
      <c r="IQ6" t="e">
        <f>AND('2015'!L42,"AAAAAF/nj/o=")</f>
        <v>#VALUE!</v>
      </c>
      <c r="IR6" t="e">
        <f>AND('2015'!M42,"AAAAAF/nj/s=")</f>
        <v>#VALUE!</v>
      </c>
      <c r="IS6" t="e">
        <f>AND('2015'!N42,"AAAAAF/nj/w=")</f>
        <v>#VALUE!</v>
      </c>
      <c r="IT6" t="e">
        <f>AND('2015'!O42,"AAAAAF/nj/0=")</f>
        <v>#VALUE!</v>
      </c>
      <c r="IU6" t="e">
        <f>AND('2015'!P42,"AAAAAF/nj/4=")</f>
        <v>#VALUE!</v>
      </c>
      <c r="IV6" t="e">
        <f>AND('2015'!Q42,"AAAAAF/nj/8=")</f>
        <v>#VALUE!</v>
      </c>
    </row>
    <row r="7" spans="1:256" x14ac:dyDescent="0.25">
      <c r="A7" t="e">
        <f>AND('2015'!R42,"AAAAAD/+XwA=")</f>
        <v>#VALUE!</v>
      </c>
      <c r="B7" t="e">
        <f>AND('2015'!S42,"AAAAAD/+XwE=")</f>
        <v>#VALUE!</v>
      </c>
      <c r="C7" t="e">
        <f>AND('2015'!T42,"AAAAAD/+XwI=")</f>
        <v>#VALUE!</v>
      </c>
      <c r="D7" t="e">
        <f>AND('2015'!U42,"AAAAAD/+XwM=")</f>
        <v>#VALUE!</v>
      </c>
      <c r="E7" t="e">
        <f>AND('2015'!V42,"AAAAAD/+XwQ=")</f>
        <v>#VALUE!</v>
      </c>
      <c r="F7" t="e">
        <f>AND('2015'!W42,"AAAAAD/+XwU=")</f>
        <v>#VALUE!</v>
      </c>
      <c r="G7" t="e">
        <f>AND('2015'!X42,"AAAAAD/+XwY=")</f>
        <v>#VALUE!</v>
      </c>
      <c r="H7" t="e">
        <f>AND('2015'!Y42,"AAAAAD/+Xwc=")</f>
        <v>#VALUE!</v>
      </c>
      <c r="I7" t="e">
        <f>AND('2015'!Z42,"AAAAAD/+Xwg=")</f>
        <v>#VALUE!</v>
      </c>
      <c r="J7" t="e">
        <f>AND('2015'!AA42,"AAAAAD/+Xwk=")</f>
        <v>#VALUE!</v>
      </c>
      <c r="K7" t="e">
        <f>AND('2015'!AB42,"AAAAAD/+Xwo=")</f>
        <v>#VALUE!</v>
      </c>
      <c r="L7" t="e">
        <f>AND('2015'!AC42,"AAAAAD/+Xws=")</f>
        <v>#VALUE!</v>
      </c>
      <c r="M7" t="e">
        <f>AND('2015'!AD42,"AAAAAD/+Xww=")</f>
        <v>#VALUE!</v>
      </c>
      <c r="N7" t="e">
        <f>AND('2015'!AE42,"AAAAAD/+Xw0=")</f>
        <v>#VALUE!</v>
      </c>
      <c r="O7" t="e">
        <f>AND('2015'!AF42,"AAAAAD/+Xw4=")</f>
        <v>#VALUE!</v>
      </c>
      <c r="P7" t="e">
        <f>AND('2015'!AG42,"AAAAAD/+Xw8=")</f>
        <v>#VALUE!</v>
      </c>
      <c r="Q7" t="e">
        <f>AND('2015'!AH42,"AAAAAD/+XxA=")</f>
        <v>#VALUE!</v>
      </c>
      <c r="R7" t="e">
        <f>AND('2015'!AI42,"AAAAAD/+XxE=")</f>
        <v>#VALUE!</v>
      </c>
      <c r="S7" t="e">
        <f>AND('2015'!AJ42,"AAAAAD/+XxI=")</f>
        <v>#VALUE!</v>
      </c>
      <c r="T7" t="e">
        <f>AND('2015'!AK42,"AAAAAD/+XxM=")</f>
        <v>#VALUE!</v>
      </c>
      <c r="U7" t="e">
        <f>AND('2015'!AL42,"AAAAAD/+XxQ=")</f>
        <v>#VALUE!</v>
      </c>
      <c r="V7" t="e">
        <f>AND('2015'!AM42,"AAAAAD/+XxU=")</f>
        <v>#VALUE!</v>
      </c>
      <c r="W7" t="e">
        <f>AND('2015'!AN42,"AAAAAD/+XxY=")</f>
        <v>#VALUE!</v>
      </c>
      <c r="X7" t="e">
        <f>AND('2015'!AO42,"AAAAAD/+Xxc=")</f>
        <v>#VALUE!</v>
      </c>
      <c r="Y7" t="e">
        <f>AND('2015'!AP42,"AAAAAD/+Xxg=")</f>
        <v>#VALUE!</v>
      </c>
      <c r="Z7" t="e">
        <f>AND('2015'!AQ42,"AAAAAD/+Xxk=")</f>
        <v>#VALUE!</v>
      </c>
      <c r="AA7" t="e">
        <f>AND('2015'!AR42,"AAAAAD/+Xxo=")</f>
        <v>#VALUE!</v>
      </c>
      <c r="AB7" t="e">
        <f>AND('2015'!AS42,"AAAAAD/+Xxs=")</f>
        <v>#VALUE!</v>
      </c>
      <c r="AC7" t="e">
        <f>AND('2015'!AT42,"AAAAAD/+Xxw=")</f>
        <v>#VALUE!</v>
      </c>
      <c r="AD7" t="e">
        <f>AND('2015'!#REF!,"AAAAAD/+Xx0=")</f>
        <v>#REF!</v>
      </c>
      <c r="AE7" t="e">
        <f>AND('2015'!AU42,"AAAAAD/+Xx4=")</f>
        <v>#VALUE!</v>
      </c>
      <c r="AF7" t="e">
        <f>AND('2015'!AV42,"AAAAAD/+Xx8=")</f>
        <v>#VALUE!</v>
      </c>
      <c r="AG7" t="e">
        <f>AND('2015'!AW42,"AAAAAD/+XyA=")</f>
        <v>#VALUE!</v>
      </c>
      <c r="AH7" t="e">
        <f>AND('2015'!AX42,"AAAAAD/+XyE=")</f>
        <v>#VALUE!</v>
      </c>
      <c r="AI7" t="e">
        <f>AND('2015'!AY42,"AAAAAD/+XyI=")</f>
        <v>#VALUE!</v>
      </c>
      <c r="AJ7" t="e">
        <f>AND('2015'!AZ42,"AAAAAD/+XyM=")</f>
        <v>#VALUE!</v>
      </c>
      <c r="AK7" t="e">
        <f>AND('2015'!BA42,"AAAAAD/+XyQ=")</f>
        <v>#VALUE!</v>
      </c>
      <c r="AL7" t="e">
        <f>AND('2015'!BB42,"AAAAAD/+XyU=")</f>
        <v>#VALUE!</v>
      </c>
      <c r="AM7" t="e">
        <f>AND('2015'!BC42,"AAAAAD/+XyY=")</f>
        <v>#VALUE!</v>
      </c>
      <c r="AN7" t="e">
        <f>AND('2015'!BD42,"AAAAAD/+Xyc=")</f>
        <v>#VALUE!</v>
      </c>
      <c r="AO7" t="e">
        <f>AND('2015'!BE42,"AAAAAD/+Xyg=")</f>
        <v>#VALUE!</v>
      </c>
      <c r="AP7" t="e">
        <f>AND('2015'!BF42,"AAAAAD/+Xyk=")</f>
        <v>#VALUE!</v>
      </c>
      <c r="AQ7" t="e">
        <f>AND('2015'!BG42,"AAAAAD/+Xyo=")</f>
        <v>#VALUE!</v>
      </c>
      <c r="AR7" t="e">
        <f>AND('2015'!BH42,"AAAAAD/+Xys=")</f>
        <v>#VALUE!</v>
      </c>
      <c r="AS7" t="e">
        <f>AND('2015'!BI42,"AAAAAD/+Xyw=")</f>
        <v>#VALUE!</v>
      </c>
      <c r="AT7" t="e">
        <f>AND('2015'!#REF!,"AAAAAD/+Xy0=")</f>
        <v>#REF!</v>
      </c>
      <c r="AU7" t="e">
        <f>AND('2015'!BJ42,"AAAAAD/+Xy4=")</f>
        <v>#VALUE!</v>
      </c>
      <c r="AV7" t="e">
        <f>AND('2015'!BK42,"AAAAAD/+Xy8=")</f>
        <v>#VALUE!</v>
      </c>
      <c r="AW7" t="e">
        <f>AND('2015'!BL42,"AAAAAD/+XzA=")</f>
        <v>#VALUE!</v>
      </c>
      <c r="AX7" t="e">
        <f>AND('2015'!BM42,"AAAAAD/+XzE=")</f>
        <v>#VALUE!</v>
      </c>
      <c r="AY7" t="e">
        <f>AND('2015'!BY42,"AAAAAD/+XzI=")</f>
        <v>#VALUE!</v>
      </c>
      <c r="AZ7" t="str">
        <f>IF('2015'!23:23,"AAAAAD/+XzM=",0)</f>
        <v>AAAAAD/+XzM=</v>
      </c>
      <c r="BA7" t="e">
        <f>AND('2015'!A23,"AAAAAD/+XzQ=")</f>
        <v>#VALUE!</v>
      </c>
      <c r="BB7" t="e">
        <f>AND('2015'!B23,"AAAAAD/+XzU=")</f>
        <v>#VALUE!</v>
      </c>
      <c r="BC7" t="e">
        <f>AND('2015'!#REF!,"AAAAAD/+XzY=")</f>
        <v>#REF!</v>
      </c>
      <c r="BD7" t="e">
        <f>AND('2015'!C23,"AAAAAD/+Xzc=")</f>
        <v>#VALUE!</v>
      </c>
      <c r="BE7" t="e">
        <f>AND('2015'!E23,"AAAAAD/+Xzg=")</f>
        <v>#VALUE!</v>
      </c>
      <c r="BF7" t="e">
        <f>AND('2015'!F23,"AAAAAD/+Xzk=")</f>
        <v>#VALUE!</v>
      </c>
      <c r="BG7" t="e">
        <f>AND('2015'!G23,"AAAAAD/+Xzo=")</f>
        <v>#VALUE!</v>
      </c>
      <c r="BH7" t="e">
        <f>AND('2015'!H23,"AAAAAD/+Xzs=")</f>
        <v>#VALUE!</v>
      </c>
      <c r="BI7" t="e">
        <f>AND('2015'!I23,"AAAAAD/+Xzw=")</f>
        <v>#VALUE!</v>
      </c>
      <c r="BJ7" t="e">
        <f>AND('2015'!J23,"AAAAAD/+Xz0=")</f>
        <v>#VALUE!</v>
      </c>
      <c r="BK7" t="e">
        <f>AND('2015'!K23,"AAAAAD/+Xz4=")</f>
        <v>#VALUE!</v>
      </c>
      <c r="BL7" t="e">
        <f>AND('2015'!L23,"AAAAAD/+Xz8=")</f>
        <v>#VALUE!</v>
      </c>
      <c r="BM7" t="e">
        <f>AND('2015'!M23,"AAAAAD/+X0A=")</f>
        <v>#VALUE!</v>
      </c>
      <c r="BN7" t="e">
        <f>AND('2015'!N23,"AAAAAD/+X0E=")</f>
        <v>#VALUE!</v>
      </c>
      <c r="BO7" t="e">
        <f>AND('2015'!O23,"AAAAAD/+X0I=")</f>
        <v>#VALUE!</v>
      </c>
      <c r="BP7" t="e">
        <f>AND('2015'!P23,"AAAAAD/+X0M=")</f>
        <v>#VALUE!</v>
      </c>
      <c r="BQ7" t="e">
        <f>AND('2015'!Q23,"AAAAAD/+X0Q=")</f>
        <v>#VALUE!</v>
      </c>
      <c r="BR7" t="e">
        <f>AND('2015'!R23,"AAAAAD/+X0U=")</f>
        <v>#VALUE!</v>
      </c>
      <c r="BS7" t="e">
        <f>AND('2015'!S23,"AAAAAD/+X0Y=")</f>
        <v>#VALUE!</v>
      </c>
      <c r="BT7" t="e">
        <f>AND('2015'!T23,"AAAAAD/+X0c=")</f>
        <v>#VALUE!</v>
      </c>
      <c r="BU7" t="e">
        <f>AND('2015'!U23,"AAAAAD/+X0g=")</f>
        <v>#VALUE!</v>
      </c>
      <c r="BV7" t="e">
        <f>AND('2015'!V23,"AAAAAD/+X0k=")</f>
        <v>#VALUE!</v>
      </c>
      <c r="BW7" t="e">
        <f>AND('2015'!W23,"AAAAAD/+X0o=")</f>
        <v>#VALUE!</v>
      </c>
      <c r="BX7" t="e">
        <f>AND('2015'!X23,"AAAAAD/+X0s=")</f>
        <v>#VALUE!</v>
      </c>
      <c r="BY7" t="e">
        <f>AND('2015'!Y23,"AAAAAD/+X0w=")</f>
        <v>#VALUE!</v>
      </c>
      <c r="BZ7" t="e">
        <f>AND('2015'!Z23,"AAAAAD/+X00=")</f>
        <v>#VALUE!</v>
      </c>
      <c r="CA7" t="e">
        <f>AND('2015'!AA23,"AAAAAD/+X04=")</f>
        <v>#VALUE!</v>
      </c>
      <c r="CB7" t="e">
        <f>AND('2015'!AB23,"AAAAAD/+X08=")</f>
        <v>#VALUE!</v>
      </c>
      <c r="CC7" t="e">
        <f>AND('2015'!AC23,"AAAAAD/+X1A=")</f>
        <v>#VALUE!</v>
      </c>
      <c r="CD7" t="e">
        <f>AND('2015'!AD23,"AAAAAD/+X1E=")</f>
        <v>#VALUE!</v>
      </c>
      <c r="CE7" t="e">
        <f>AND('2015'!AE23,"AAAAAD/+X1I=")</f>
        <v>#VALUE!</v>
      </c>
      <c r="CF7" t="e">
        <f>AND('2015'!AF23,"AAAAAD/+X1M=")</f>
        <v>#VALUE!</v>
      </c>
      <c r="CG7" t="e">
        <f>AND('2015'!AG23,"AAAAAD/+X1Q=")</f>
        <v>#VALUE!</v>
      </c>
      <c r="CH7" t="e">
        <f>AND('2015'!AH23,"AAAAAD/+X1U=")</f>
        <v>#VALUE!</v>
      </c>
      <c r="CI7" t="e">
        <f>AND('2015'!AI23,"AAAAAD/+X1Y=")</f>
        <v>#VALUE!</v>
      </c>
      <c r="CJ7" t="e">
        <f>AND('2015'!AJ23,"AAAAAD/+X1c=")</f>
        <v>#VALUE!</v>
      </c>
      <c r="CK7" t="e">
        <f>AND('2015'!AK23,"AAAAAD/+X1g=")</f>
        <v>#VALUE!</v>
      </c>
      <c r="CL7" t="e">
        <f>AND('2015'!AL23,"AAAAAD/+X1k=")</f>
        <v>#VALUE!</v>
      </c>
      <c r="CM7" t="e">
        <f>AND('2015'!AM23,"AAAAAD/+X1o=")</f>
        <v>#VALUE!</v>
      </c>
      <c r="CN7" t="e">
        <f>AND('2015'!AN23,"AAAAAD/+X1s=")</f>
        <v>#VALUE!</v>
      </c>
      <c r="CO7" t="e">
        <f>AND('2015'!AO23,"AAAAAD/+X1w=")</f>
        <v>#VALUE!</v>
      </c>
      <c r="CP7" t="e">
        <f>AND('2015'!AP23,"AAAAAD/+X10=")</f>
        <v>#VALUE!</v>
      </c>
      <c r="CQ7" t="e">
        <f>AND('2015'!AQ23,"AAAAAD/+X14=")</f>
        <v>#VALUE!</v>
      </c>
      <c r="CR7" t="e">
        <f>AND('2015'!AR23,"AAAAAD/+X18=")</f>
        <v>#VALUE!</v>
      </c>
      <c r="CS7" t="e">
        <f>AND('2015'!AS23,"AAAAAD/+X2A=")</f>
        <v>#VALUE!</v>
      </c>
      <c r="CT7" t="e">
        <f>AND('2015'!AT23,"AAAAAD/+X2E=")</f>
        <v>#VALUE!</v>
      </c>
      <c r="CU7" t="e">
        <f>AND('2015'!#REF!,"AAAAAD/+X2I=")</f>
        <v>#REF!</v>
      </c>
      <c r="CV7" t="e">
        <f>AND('2015'!AU23,"AAAAAD/+X2M=")</f>
        <v>#VALUE!</v>
      </c>
      <c r="CW7" t="e">
        <f>AND('2015'!AV23,"AAAAAD/+X2Q=")</f>
        <v>#VALUE!</v>
      </c>
      <c r="CX7" t="e">
        <f>AND('2015'!AW23,"AAAAAD/+X2U=")</f>
        <v>#VALUE!</v>
      </c>
      <c r="CY7" t="e">
        <f>AND('2015'!AX23,"AAAAAD/+X2Y=")</f>
        <v>#VALUE!</v>
      </c>
      <c r="CZ7" t="e">
        <f>AND('2015'!AY23,"AAAAAD/+X2c=")</f>
        <v>#VALUE!</v>
      </c>
      <c r="DA7" t="e">
        <f>AND('2015'!AZ23,"AAAAAD/+X2g=")</f>
        <v>#VALUE!</v>
      </c>
      <c r="DB7" t="e">
        <f>AND('2015'!BA23,"AAAAAD/+X2k=")</f>
        <v>#VALUE!</v>
      </c>
      <c r="DC7" t="e">
        <f>AND('2015'!BB23,"AAAAAD/+X2o=")</f>
        <v>#VALUE!</v>
      </c>
      <c r="DD7" t="e">
        <f>AND('2015'!BC23,"AAAAAD/+X2s=")</f>
        <v>#VALUE!</v>
      </c>
      <c r="DE7" t="e">
        <f>AND('2015'!BD23,"AAAAAD/+X2w=")</f>
        <v>#VALUE!</v>
      </c>
      <c r="DF7" t="e">
        <f>AND('2015'!BE23,"AAAAAD/+X20=")</f>
        <v>#VALUE!</v>
      </c>
      <c r="DG7" t="e">
        <f>AND('2015'!BF23,"AAAAAD/+X24=")</f>
        <v>#VALUE!</v>
      </c>
      <c r="DH7" t="e">
        <f>AND('2015'!BG23,"AAAAAD/+X28=")</f>
        <v>#VALUE!</v>
      </c>
      <c r="DI7" t="e">
        <f>AND('2015'!BH23,"AAAAAD/+X3A=")</f>
        <v>#VALUE!</v>
      </c>
      <c r="DJ7" t="e">
        <f>AND('2015'!BI23,"AAAAAD/+X3E=")</f>
        <v>#VALUE!</v>
      </c>
      <c r="DK7" t="e">
        <f>AND('2015'!#REF!,"AAAAAD/+X3I=")</f>
        <v>#REF!</v>
      </c>
      <c r="DL7" t="e">
        <f>AND('2015'!BJ23,"AAAAAD/+X3M=")</f>
        <v>#VALUE!</v>
      </c>
      <c r="DM7" t="e">
        <f>AND('2015'!BK23,"AAAAAD/+X3Q=")</f>
        <v>#VALUE!</v>
      </c>
      <c r="DN7" t="e">
        <f>AND('2015'!BL23,"AAAAAD/+X3U=")</f>
        <v>#VALUE!</v>
      </c>
      <c r="DO7" t="e">
        <f>AND('2015'!BM23,"AAAAAD/+X3Y=")</f>
        <v>#VALUE!</v>
      </c>
      <c r="DP7" t="e">
        <f>AND('2015'!BY23,"AAAAAD/+X3c=")</f>
        <v>#VALUE!</v>
      </c>
      <c r="DQ7">
        <f>IF('2015'!43:43,"AAAAAD/+X3g=",0)</f>
        <v>0</v>
      </c>
      <c r="DR7" t="e">
        <f>AND('2015'!A43,"AAAAAD/+X3k=")</f>
        <v>#VALUE!</v>
      </c>
      <c r="DS7" t="e">
        <f>AND('2015'!B43,"AAAAAD/+X3o=")</f>
        <v>#VALUE!</v>
      </c>
      <c r="DT7" t="e">
        <f>AND('2015'!C43,"AAAAAD/+X3s=")</f>
        <v>#VALUE!</v>
      </c>
      <c r="DU7" t="e">
        <f>AND('2015'!D43,"AAAAAD/+X3w=")</f>
        <v>#VALUE!</v>
      </c>
      <c r="DV7" t="e">
        <f>AND('2015'!E43,"AAAAAD/+X30=")</f>
        <v>#VALUE!</v>
      </c>
      <c r="DW7" t="e">
        <f>AND('2015'!F43,"AAAAAD/+X34=")</f>
        <v>#VALUE!</v>
      </c>
      <c r="DX7" t="e">
        <f>AND('2015'!G43,"AAAAAD/+X38=")</f>
        <v>#VALUE!</v>
      </c>
      <c r="DY7" t="e">
        <f>AND('2015'!H43,"AAAAAD/+X4A=")</f>
        <v>#VALUE!</v>
      </c>
      <c r="DZ7" t="e">
        <f>AND('2015'!I43,"AAAAAD/+X4E=")</f>
        <v>#VALUE!</v>
      </c>
      <c r="EA7" t="e">
        <f>AND('2015'!J43,"AAAAAD/+X4I=")</f>
        <v>#VALUE!</v>
      </c>
      <c r="EB7" t="e">
        <f>AND('2015'!K43,"AAAAAD/+X4M=")</f>
        <v>#VALUE!</v>
      </c>
      <c r="EC7" t="e">
        <f>AND('2015'!L43,"AAAAAD/+X4Q=")</f>
        <v>#VALUE!</v>
      </c>
      <c r="ED7" t="e">
        <f>AND('2015'!M43,"AAAAAD/+X4U=")</f>
        <v>#VALUE!</v>
      </c>
      <c r="EE7" t="e">
        <f>AND('2015'!N43,"AAAAAD/+X4Y=")</f>
        <v>#VALUE!</v>
      </c>
      <c r="EF7" t="e">
        <f>AND('2015'!O43,"AAAAAD/+X4c=")</f>
        <v>#VALUE!</v>
      </c>
      <c r="EG7" t="e">
        <f>AND('2015'!P43,"AAAAAD/+X4g=")</f>
        <v>#VALUE!</v>
      </c>
      <c r="EH7" t="e">
        <f>AND('2015'!Q43,"AAAAAD/+X4k=")</f>
        <v>#VALUE!</v>
      </c>
      <c r="EI7" t="e">
        <f>AND('2015'!R43,"AAAAAD/+X4o=")</f>
        <v>#VALUE!</v>
      </c>
      <c r="EJ7" t="e">
        <f>AND('2015'!S43,"AAAAAD/+X4s=")</f>
        <v>#VALUE!</v>
      </c>
      <c r="EK7" t="e">
        <f>AND('2015'!T43,"AAAAAD/+X4w=")</f>
        <v>#VALUE!</v>
      </c>
      <c r="EL7" t="e">
        <f>AND('2015'!U43,"AAAAAD/+X40=")</f>
        <v>#VALUE!</v>
      </c>
      <c r="EM7" t="e">
        <f>AND('2015'!V43,"AAAAAD/+X44=")</f>
        <v>#VALUE!</v>
      </c>
      <c r="EN7" t="e">
        <f>AND('2015'!W43,"AAAAAD/+X48=")</f>
        <v>#VALUE!</v>
      </c>
      <c r="EO7" t="e">
        <f>AND('2015'!X43,"AAAAAD/+X5A=")</f>
        <v>#VALUE!</v>
      </c>
      <c r="EP7" t="e">
        <f>AND('2015'!Y43,"AAAAAD/+X5E=")</f>
        <v>#VALUE!</v>
      </c>
      <c r="EQ7" t="e">
        <f>AND('2015'!Z43,"AAAAAD/+X5I=")</f>
        <v>#VALUE!</v>
      </c>
      <c r="ER7" t="e">
        <f>AND('2015'!AA43,"AAAAAD/+X5M=")</f>
        <v>#VALUE!</v>
      </c>
      <c r="ES7" t="e">
        <f>AND('2015'!AB43,"AAAAAD/+X5Q=")</f>
        <v>#VALUE!</v>
      </c>
      <c r="ET7" t="e">
        <f>AND('2015'!AC43,"AAAAAD/+X5U=")</f>
        <v>#VALUE!</v>
      </c>
      <c r="EU7" t="e">
        <f>AND('2015'!AD43,"AAAAAD/+X5Y=")</f>
        <v>#VALUE!</v>
      </c>
      <c r="EV7" t="e">
        <f>AND('2015'!AE43,"AAAAAD/+X5c=")</f>
        <v>#VALUE!</v>
      </c>
      <c r="EW7" t="e">
        <f>AND('2015'!AF43,"AAAAAD/+X5g=")</f>
        <v>#VALUE!</v>
      </c>
      <c r="EX7" t="e">
        <f>AND('2015'!AG43,"AAAAAD/+X5k=")</f>
        <v>#VALUE!</v>
      </c>
      <c r="EY7" t="e">
        <f>AND('2015'!AH43,"AAAAAD/+X5o=")</f>
        <v>#VALUE!</v>
      </c>
      <c r="EZ7" t="e">
        <f>AND('2015'!AI43,"AAAAAD/+X5s=")</f>
        <v>#VALUE!</v>
      </c>
      <c r="FA7" t="e">
        <f>AND('2015'!AJ43,"AAAAAD/+X5w=")</f>
        <v>#VALUE!</v>
      </c>
      <c r="FB7" t="e">
        <f>AND('2015'!AK43,"AAAAAD/+X50=")</f>
        <v>#VALUE!</v>
      </c>
      <c r="FC7" t="e">
        <f>AND('2015'!AL43,"AAAAAD/+X54=")</f>
        <v>#VALUE!</v>
      </c>
      <c r="FD7" t="e">
        <f>AND('2015'!AM43,"AAAAAD/+X58=")</f>
        <v>#VALUE!</v>
      </c>
      <c r="FE7" t="e">
        <f>AND('2015'!AN43,"AAAAAD/+X6A=")</f>
        <v>#VALUE!</v>
      </c>
      <c r="FF7" t="e">
        <f>AND('2015'!AO43,"AAAAAD/+X6E=")</f>
        <v>#VALUE!</v>
      </c>
      <c r="FG7" t="e">
        <f>AND('2015'!AP43,"AAAAAD/+X6I=")</f>
        <v>#VALUE!</v>
      </c>
      <c r="FH7" t="e">
        <f>AND('2015'!AQ43,"AAAAAD/+X6M=")</f>
        <v>#VALUE!</v>
      </c>
      <c r="FI7" t="e">
        <f>AND('2015'!AR43,"AAAAAD/+X6Q=")</f>
        <v>#VALUE!</v>
      </c>
      <c r="FJ7" t="e">
        <f>AND('2015'!AS43,"AAAAAD/+X6U=")</f>
        <v>#VALUE!</v>
      </c>
      <c r="FK7" t="e">
        <f>AND('2015'!AT43,"AAAAAD/+X6Y=")</f>
        <v>#VALUE!</v>
      </c>
      <c r="FL7" t="e">
        <f>AND('2015'!#REF!,"AAAAAD/+X6c=")</f>
        <v>#REF!</v>
      </c>
      <c r="FM7" t="e">
        <f>AND('2015'!AU43,"AAAAAD/+X6g=")</f>
        <v>#VALUE!</v>
      </c>
      <c r="FN7" t="e">
        <f>AND('2015'!AV43,"AAAAAD/+X6k=")</f>
        <v>#VALUE!</v>
      </c>
      <c r="FO7" t="e">
        <f>AND('2015'!AW43,"AAAAAD/+X6o=")</f>
        <v>#VALUE!</v>
      </c>
      <c r="FP7" t="e">
        <f>AND('2015'!AX43,"AAAAAD/+X6s=")</f>
        <v>#VALUE!</v>
      </c>
      <c r="FQ7" t="e">
        <f>AND('2015'!AY43,"AAAAAD/+X6w=")</f>
        <v>#VALUE!</v>
      </c>
      <c r="FR7" t="e">
        <f>AND('2015'!AZ43,"AAAAAD/+X60=")</f>
        <v>#VALUE!</v>
      </c>
      <c r="FS7" t="e">
        <f>AND('2015'!BA43,"AAAAAD/+X64=")</f>
        <v>#VALUE!</v>
      </c>
      <c r="FT7" t="e">
        <f>AND('2015'!BB43,"AAAAAD/+X68=")</f>
        <v>#VALUE!</v>
      </c>
      <c r="FU7" t="e">
        <f>AND('2015'!BC43,"AAAAAD/+X7A=")</f>
        <v>#VALUE!</v>
      </c>
      <c r="FV7" t="e">
        <f>AND('2015'!BD43,"AAAAAD/+X7E=")</f>
        <v>#VALUE!</v>
      </c>
      <c r="FW7" t="e">
        <f>AND('2015'!BE43,"AAAAAD/+X7I=")</f>
        <v>#VALUE!</v>
      </c>
      <c r="FX7" t="e">
        <f>AND('2015'!BF43,"AAAAAD/+X7M=")</f>
        <v>#VALUE!</v>
      </c>
      <c r="FY7" t="e">
        <f>AND('2015'!BG43,"AAAAAD/+X7Q=")</f>
        <v>#VALUE!</v>
      </c>
      <c r="FZ7" t="e">
        <f>AND('2015'!BH43,"AAAAAD/+X7U=")</f>
        <v>#VALUE!</v>
      </c>
      <c r="GA7" t="e">
        <f>AND('2015'!BI43,"AAAAAD/+X7Y=")</f>
        <v>#VALUE!</v>
      </c>
      <c r="GB7" t="e">
        <f>AND('2015'!#REF!,"AAAAAD/+X7c=")</f>
        <v>#REF!</v>
      </c>
      <c r="GC7" t="e">
        <f>AND('2015'!BJ43,"AAAAAD/+X7g=")</f>
        <v>#VALUE!</v>
      </c>
      <c r="GD7" t="e">
        <f>AND('2015'!BK43,"AAAAAD/+X7k=")</f>
        <v>#VALUE!</v>
      </c>
      <c r="GE7" t="e">
        <f>AND('2015'!BL43,"AAAAAD/+X7o=")</f>
        <v>#VALUE!</v>
      </c>
      <c r="GF7" t="e">
        <f>AND('2015'!BM43,"AAAAAD/+X7s=")</f>
        <v>#VALUE!</v>
      </c>
      <c r="GG7" t="e">
        <f>AND('2015'!BY43,"AAAAAD/+X7w=")</f>
        <v>#VALUE!</v>
      </c>
      <c r="GH7">
        <f>IF('2015'!44:44,"AAAAAD/+X70=",0)</f>
        <v>0</v>
      </c>
      <c r="GI7" t="e">
        <f>AND('2015'!A44,"AAAAAD/+X74=")</f>
        <v>#VALUE!</v>
      </c>
      <c r="GJ7" t="e">
        <f>AND('2015'!B44,"AAAAAD/+X78=")</f>
        <v>#VALUE!</v>
      </c>
      <c r="GK7" t="e">
        <f>AND('2015'!C44,"AAAAAD/+X8A=")</f>
        <v>#VALUE!</v>
      </c>
      <c r="GL7" t="e">
        <f>AND('2015'!D44,"AAAAAD/+X8E=")</f>
        <v>#VALUE!</v>
      </c>
      <c r="GM7" t="e">
        <f>AND('2015'!E44,"AAAAAD/+X8I=")</f>
        <v>#VALUE!</v>
      </c>
      <c r="GN7" t="e">
        <f>AND('2015'!F44,"AAAAAD/+X8M=")</f>
        <v>#VALUE!</v>
      </c>
      <c r="GO7" t="e">
        <f>AND('2015'!G44,"AAAAAD/+X8Q=")</f>
        <v>#VALUE!</v>
      </c>
      <c r="GP7" t="e">
        <f>AND('2015'!H44,"AAAAAD/+X8U=")</f>
        <v>#VALUE!</v>
      </c>
      <c r="GQ7" t="e">
        <f>AND('2015'!I44,"AAAAAD/+X8Y=")</f>
        <v>#VALUE!</v>
      </c>
      <c r="GR7" t="e">
        <f>AND('2015'!J44,"AAAAAD/+X8c=")</f>
        <v>#VALUE!</v>
      </c>
      <c r="GS7" t="e">
        <f>AND('2015'!K44,"AAAAAD/+X8g=")</f>
        <v>#VALUE!</v>
      </c>
      <c r="GT7" t="e">
        <f>AND('2015'!L44,"AAAAAD/+X8k=")</f>
        <v>#VALUE!</v>
      </c>
      <c r="GU7" t="e">
        <f>AND('2015'!M44,"AAAAAD/+X8o=")</f>
        <v>#VALUE!</v>
      </c>
      <c r="GV7" t="e">
        <f>AND('2015'!N44,"AAAAAD/+X8s=")</f>
        <v>#VALUE!</v>
      </c>
      <c r="GW7" t="e">
        <f>AND('2015'!O44,"AAAAAD/+X8w=")</f>
        <v>#VALUE!</v>
      </c>
      <c r="GX7" t="e">
        <f>AND('2015'!P44,"AAAAAD/+X80=")</f>
        <v>#VALUE!</v>
      </c>
      <c r="GY7" t="e">
        <f>AND('2015'!Q44,"AAAAAD/+X84=")</f>
        <v>#VALUE!</v>
      </c>
      <c r="GZ7" t="e">
        <f>AND('2015'!R44,"AAAAAD/+X88=")</f>
        <v>#VALUE!</v>
      </c>
      <c r="HA7" t="e">
        <f>AND('2015'!S44,"AAAAAD/+X9A=")</f>
        <v>#VALUE!</v>
      </c>
      <c r="HB7" t="e">
        <f>AND('2015'!T44,"AAAAAD/+X9E=")</f>
        <v>#VALUE!</v>
      </c>
      <c r="HC7" t="e">
        <f>AND('2015'!U44,"AAAAAD/+X9I=")</f>
        <v>#VALUE!</v>
      </c>
      <c r="HD7" t="e">
        <f>AND('2015'!V44,"AAAAAD/+X9M=")</f>
        <v>#VALUE!</v>
      </c>
      <c r="HE7" t="e">
        <f>AND('2015'!W44,"AAAAAD/+X9Q=")</f>
        <v>#VALUE!</v>
      </c>
      <c r="HF7" t="e">
        <f>AND('2015'!X44,"AAAAAD/+X9U=")</f>
        <v>#VALUE!</v>
      </c>
      <c r="HG7" t="e">
        <f>AND('2015'!Y44,"AAAAAD/+X9Y=")</f>
        <v>#VALUE!</v>
      </c>
      <c r="HH7" t="e">
        <f>AND('2015'!Z44,"AAAAAD/+X9c=")</f>
        <v>#VALUE!</v>
      </c>
      <c r="HI7" t="e">
        <f>AND('2015'!AA44,"AAAAAD/+X9g=")</f>
        <v>#VALUE!</v>
      </c>
      <c r="HJ7" t="e">
        <f>AND('2015'!AB44,"AAAAAD/+X9k=")</f>
        <v>#VALUE!</v>
      </c>
      <c r="HK7" t="e">
        <f>AND('2015'!AC44,"AAAAAD/+X9o=")</f>
        <v>#VALUE!</v>
      </c>
      <c r="HL7" t="e">
        <f>AND('2015'!AD44,"AAAAAD/+X9s=")</f>
        <v>#VALUE!</v>
      </c>
      <c r="HM7" t="e">
        <f>AND('2015'!AE44,"AAAAAD/+X9w=")</f>
        <v>#VALUE!</v>
      </c>
      <c r="HN7" t="e">
        <f>AND('2015'!AF44,"AAAAAD/+X90=")</f>
        <v>#VALUE!</v>
      </c>
      <c r="HO7" t="e">
        <f>AND('2015'!AG44,"AAAAAD/+X94=")</f>
        <v>#VALUE!</v>
      </c>
      <c r="HP7" t="e">
        <f>AND('2015'!AH44,"AAAAAD/+X98=")</f>
        <v>#VALUE!</v>
      </c>
      <c r="HQ7" t="e">
        <f>AND('2015'!AI44,"AAAAAD/+X+A=")</f>
        <v>#VALUE!</v>
      </c>
      <c r="HR7" t="e">
        <f>AND('2015'!AJ44,"AAAAAD/+X+E=")</f>
        <v>#VALUE!</v>
      </c>
      <c r="HS7" t="e">
        <f>AND('2015'!AK44,"AAAAAD/+X+I=")</f>
        <v>#VALUE!</v>
      </c>
      <c r="HT7" t="e">
        <f>AND('2015'!AL44,"AAAAAD/+X+M=")</f>
        <v>#VALUE!</v>
      </c>
      <c r="HU7" t="e">
        <f>AND('2015'!AM44,"AAAAAD/+X+Q=")</f>
        <v>#VALUE!</v>
      </c>
      <c r="HV7" t="e">
        <f>AND('2015'!AN44,"AAAAAD/+X+U=")</f>
        <v>#VALUE!</v>
      </c>
      <c r="HW7" t="e">
        <f>AND('2015'!AO44,"AAAAAD/+X+Y=")</f>
        <v>#VALUE!</v>
      </c>
      <c r="HX7" t="e">
        <f>AND('2015'!AP44,"AAAAAD/+X+c=")</f>
        <v>#VALUE!</v>
      </c>
      <c r="HY7" t="e">
        <f>AND('2015'!AQ44,"AAAAAD/+X+g=")</f>
        <v>#VALUE!</v>
      </c>
      <c r="HZ7" t="e">
        <f>AND('2015'!AR44,"AAAAAD/+X+k=")</f>
        <v>#VALUE!</v>
      </c>
      <c r="IA7" t="e">
        <f>AND('2015'!AS44,"AAAAAD/+X+o=")</f>
        <v>#VALUE!</v>
      </c>
      <c r="IB7" t="e">
        <f>AND('2015'!AT44,"AAAAAD/+X+s=")</f>
        <v>#VALUE!</v>
      </c>
      <c r="IC7" t="e">
        <f>AND('2015'!#REF!,"AAAAAD/+X+w=")</f>
        <v>#REF!</v>
      </c>
      <c r="ID7" t="e">
        <f>AND('2015'!AU44,"AAAAAD/+X+0=")</f>
        <v>#VALUE!</v>
      </c>
      <c r="IE7" t="e">
        <f>AND('2015'!AV44,"AAAAAD/+X+4=")</f>
        <v>#VALUE!</v>
      </c>
      <c r="IF7" t="e">
        <f>AND('2015'!AW44,"AAAAAD/+X+8=")</f>
        <v>#VALUE!</v>
      </c>
      <c r="IG7" t="e">
        <f>AND('2015'!AX44,"AAAAAD/+X/A=")</f>
        <v>#VALUE!</v>
      </c>
      <c r="IH7" t="e">
        <f>AND('2015'!AY44,"AAAAAD/+X/E=")</f>
        <v>#VALUE!</v>
      </c>
      <c r="II7" t="e">
        <f>AND('2015'!AZ44,"AAAAAD/+X/I=")</f>
        <v>#VALUE!</v>
      </c>
      <c r="IJ7" t="e">
        <f>AND('2015'!BA44,"AAAAAD/+X/M=")</f>
        <v>#VALUE!</v>
      </c>
      <c r="IK7" t="e">
        <f>AND('2015'!BB44,"AAAAAD/+X/Q=")</f>
        <v>#VALUE!</v>
      </c>
      <c r="IL7" t="e">
        <f>AND('2015'!BC44,"AAAAAD/+X/U=")</f>
        <v>#VALUE!</v>
      </c>
      <c r="IM7" t="e">
        <f>AND('2015'!BD44,"AAAAAD/+X/Y=")</f>
        <v>#VALUE!</v>
      </c>
      <c r="IN7" t="e">
        <f>AND('2015'!BE44,"AAAAAD/+X/c=")</f>
        <v>#VALUE!</v>
      </c>
      <c r="IO7" t="e">
        <f>AND('2015'!BF44,"AAAAAD/+X/g=")</f>
        <v>#VALUE!</v>
      </c>
      <c r="IP7" t="e">
        <f>AND('2015'!BG44,"AAAAAD/+X/k=")</f>
        <v>#VALUE!</v>
      </c>
      <c r="IQ7" t="e">
        <f>AND('2015'!BH44,"AAAAAD/+X/o=")</f>
        <v>#VALUE!</v>
      </c>
      <c r="IR7" t="e">
        <f>AND('2015'!BI44,"AAAAAD/+X/s=")</f>
        <v>#VALUE!</v>
      </c>
      <c r="IS7" t="e">
        <f>AND('2015'!#REF!,"AAAAAD/+X/w=")</f>
        <v>#REF!</v>
      </c>
      <c r="IT7" t="e">
        <f>AND('2015'!BJ44,"AAAAAD/+X/0=")</f>
        <v>#VALUE!</v>
      </c>
      <c r="IU7" t="e">
        <f>AND('2015'!BK44,"AAAAAD/+X/4=")</f>
        <v>#VALUE!</v>
      </c>
      <c r="IV7" t="e">
        <f>AND('2015'!BL44,"AAAAAD/+X/8=")</f>
        <v>#VALUE!</v>
      </c>
    </row>
    <row r="8" spans="1:256" x14ac:dyDescent="0.25">
      <c r="A8" t="e">
        <f>AND('2015'!BM44,"AAAAAGXXnwA=")</f>
        <v>#VALUE!</v>
      </c>
      <c r="B8" t="e">
        <f>AND('2015'!BY44,"AAAAAGXXnwE=")</f>
        <v>#VALUE!</v>
      </c>
      <c r="C8">
        <f>IF('2015'!45:45,"AAAAAGXXnwI=",0)</f>
        <v>0</v>
      </c>
      <c r="D8" t="e">
        <f>AND('2015'!A45,"AAAAAGXXnwM=")</f>
        <v>#VALUE!</v>
      </c>
      <c r="E8" t="e">
        <f>AND('2015'!B45,"AAAAAGXXnwQ=")</f>
        <v>#VALUE!</v>
      </c>
      <c r="F8" t="e">
        <f>AND('2015'!C45,"AAAAAGXXnwU=")</f>
        <v>#VALUE!</v>
      </c>
      <c r="G8" t="e">
        <f>AND('2015'!D45,"AAAAAGXXnwY=")</f>
        <v>#VALUE!</v>
      </c>
      <c r="H8" t="e">
        <f>AND('2015'!E45,"AAAAAGXXnwc=")</f>
        <v>#VALUE!</v>
      </c>
      <c r="I8" t="e">
        <f>AND('2015'!F45,"AAAAAGXXnwg=")</f>
        <v>#VALUE!</v>
      </c>
      <c r="J8" t="e">
        <f>AND('2015'!G45,"AAAAAGXXnwk=")</f>
        <v>#VALUE!</v>
      </c>
      <c r="K8" t="e">
        <f>AND('2015'!H45,"AAAAAGXXnwo=")</f>
        <v>#VALUE!</v>
      </c>
      <c r="L8" t="e">
        <f>AND('2015'!I45,"AAAAAGXXnws=")</f>
        <v>#VALUE!</v>
      </c>
      <c r="M8" t="e">
        <f>AND('2015'!J45,"AAAAAGXXnww=")</f>
        <v>#VALUE!</v>
      </c>
      <c r="N8" t="e">
        <f>AND('2015'!K45,"AAAAAGXXnw0=")</f>
        <v>#VALUE!</v>
      </c>
      <c r="O8" t="e">
        <f>AND('2015'!L45,"AAAAAGXXnw4=")</f>
        <v>#VALUE!</v>
      </c>
      <c r="P8" t="e">
        <f>AND('2015'!M45,"AAAAAGXXnw8=")</f>
        <v>#VALUE!</v>
      </c>
      <c r="Q8" t="e">
        <f>AND('2015'!N45,"AAAAAGXXnxA=")</f>
        <v>#VALUE!</v>
      </c>
      <c r="R8" t="e">
        <f>AND('2015'!O45,"AAAAAGXXnxE=")</f>
        <v>#VALUE!</v>
      </c>
      <c r="S8" t="e">
        <f>AND('2015'!P45,"AAAAAGXXnxI=")</f>
        <v>#VALUE!</v>
      </c>
      <c r="T8" t="e">
        <f>AND('2015'!Q45,"AAAAAGXXnxM=")</f>
        <v>#VALUE!</v>
      </c>
      <c r="U8" t="e">
        <f>AND('2015'!R45,"AAAAAGXXnxQ=")</f>
        <v>#VALUE!</v>
      </c>
      <c r="V8" t="e">
        <f>AND('2015'!S45,"AAAAAGXXnxU=")</f>
        <v>#VALUE!</v>
      </c>
      <c r="W8" t="e">
        <f>AND('2015'!T45,"AAAAAGXXnxY=")</f>
        <v>#VALUE!</v>
      </c>
      <c r="X8" t="e">
        <f>AND('2015'!U45,"AAAAAGXXnxc=")</f>
        <v>#VALUE!</v>
      </c>
      <c r="Y8" t="e">
        <f>AND('2015'!V45,"AAAAAGXXnxg=")</f>
        <v>#VALUE!</v>
      </c>
      <c r="Z8" t="e">
        <f>AND('2015'!W45,"AAAAAGXXnxk=")</f>
        <v>#VALUE!</v>
      </c>
      <c r="AA8" t="e">
        <f>AND('2015'!X45,"AAAAAGXXnxo=")</f>
        <v>#VALUE!</v>
      </c>
      <c r="AB8" t="e">
        <f>AND('2015'!Y45,"AAAAAGXXnxs=")</f>
        <v>#VALUE!</v>
      </c>
      <c r="AC8" t="e">
        <f>AND('2015'!Z45,"AAAAAGXXnxw=")</f>
        <v>#VALUE!</v>
      </c>
      <c r="AD8" t="e">
        <f>AND('2015'!AA45,"AAAAAGXXnx0=")</f>
        <v>#VALUE!</v>
      </c>
      <c r="AE8" t="e">
        <f>AND('2015'!AB45,"AAAAAGXXnx4=")</f>
        <v>#VALUE!</v>
      </c>
      <c r="AF8" t="e">
        <f>AND('2015'!AC45,"AAAAAGXXnx8=")</f>
        <v>#VALUE!</v>
      </c>
      <c r="AG8" t="e">
        <f>AND('2015'!AD45,"AAAAAGXXnyA=")</f>
        <v>#VALUE!</v>
      </c>
      <c r="AH8" t="e">
        <f>AND('2015'!AE45,"AAAAAGXXnyE=")</f>
        <v>#VALUE!</v>
      </c>
      <c r="AI8" t="e">
        <f>AND('2015'!AF45,"AAAAAGXXnyI=")</f>
        <v>#VALUE!</v>
      </c>
      <c r="AJ8" t="e">
        <f>AND('2015'!AG45,"AAAAAGXXnyM=")</f>
        <v>#VALUE!</v>
      </c>
      <c r="AK8" t="e">
        <f>AND('2015'!AH45,"AAAAAGXXnyQ=")</f>
        <v>#VALUE!</v>
      </c>
      <c r="AL8" t="e">
        <f>AND('2015'!AI45,"AAAAAGXXnyU=")</f>
        <v>#VALUE!</v>
      </c>
      <c r="AM8" t="e">
        <f>AND('2015'!AJ45,"AAAAAGXXnyY=")</f>
        <v>#VALUE!</v>
      </c>
      <c r="AN8" t="e">
        <f>AND('2015'!AK45,"AAAAAGXXnyc=")</f>
        <v>#VALUE!</v>
      </c>
      <c r="AO8" t="e">
        <f>AND('2015'!AL45,"AAAAAGXXnyg=")</f>
        <v>#VALUE!</v>
      </c>
      <c r="AP8" t="e">
        <f>AND('2015'!AM45,"AAAAAGXXnyk=")</f>
        <v>#VALUE!</v>
      </c>
      <c r="AQ8" t="e">
        <f>AND('2015'!AN45,"AAAAAGXXnyo=")</f>
        <v>#VALUE!</v>
      </c>
      <c r="AR8" t="e">
        <f>AND('2015'!AO45,"AAAAAGXXnys=")</f>
        <v>#VALUE!</v>
      </c>
      <c r="AS8" t="e">
        <f>AND('2015'!AP45,"AAAAAGXXnyw=")</f>
        <v>#VALUE!</v>
      </c>
      <c r="AT8" t="e">
        <f>AND('2015'!AQ45,"AAAAAGXXny0=")</f>
        <v>#VALUE!</v>
      </c>
      <c r="AU8" t="e">
        <f>AND('2015'!AR45,"AAAAAGXXny4=")</f>
        <v>#VALUE!</v>
      </c>
      <c r="AV8" t="e">
        <f>AND('2015'!AS45,"AAAAAGXXny8=")</f>
        <v>#VALUE!</v>
      </c>
      <c r="AW8" t="e">
        <f>AND('2015'!AT45,"AAAAAGXXnzA=")</f>
        <v>#VALUE!</v>
      </c>
      <c r="AX8" t="e">
        <f>AND('2015'!#REF!,"AAAAAGXXnzE=")</f>
        <v>#REF!</v>
      </c>
      <c r="AY8" t="e">
        <f>AND('2015'!AU45,"AAAAAGXXnzI=")</f>
        <v>#VALUE!</v>
      </c>
      <c r="AZ8" t="e">
        <f>AND('2015'!AV45,"AAAAAGXXnzM=")</f>
        <v>#VALUE!</v>
      </c>
      <c r="BA8" t="e">
        <f>AND('2015'!AW45,"AAAAAGXXnzQ=")</f>
        <v>#VALUE!</v>
      </c>
      <c r="BB8" t="e">
        <f>AND('2015'!AX45,"AAAAAGXXnzU=")</f>
        <v>#VALUE!</v>
      </c>
      <c r="BC8" t="e">
        <f>AND('2015'!AY45,"AAAAAGXXnzY=")</f>
        <v>#VALUE!</v>
      </c>
      <c r="BD8" t="e">
        <f>AND('2015'!AZ45,"AAAAAGXXnzc=")</f>
        <v>#VALUE!</v>
      </c>
      <c r="BE8" t="e">
        <f>AND('2015'!BA45,"AAAAAGXXnzg=")</f>
        <v>#VALUE!</v>
      </c>
      <c r="BF8" t="e">
        <f>AND('2015'!BB45,"AAAAAGXXnzk=")</f>
        <v>#VALUE!</v>
      </c>
      <c r="BG8" t="e">
        <f>AND('2015'!BC45,"AAAAAGXXnzo=")</f>
        <v>#VALUE!</v>
      </c>
      <c r="BH8" t="e">
        <f>AND('2015'!BD45,"AAAAAGXXnzs=")</f>
        <v>#VALUE!</v>
      </c>
      <c r="BI8" t="e">
        <f>AND('2015'!BE45,"AAAAAGXXnzw=")</f>
        <v>#VALUE!</v>
      </c>
      <c r="BJ8" t="e">
        <f>AND('2015'!BF45,"AAAAAGXXnz0=")</f>
        <v>#VALUE!</v>
      </c>
      <c r="BK8" t="e">
        <f>AND('2015'!BG45,"AAAAAGXXnz4=")</f>
        <v>#VALUE!</v>
      </c>
      <c r="BL8" t="e">
        <f>AND('2015'!BH45,"AAAAAGXXnz8=")</f>
        <v>#VALUE!</v>
      </c>
      <c r="BM8" t="e">
        <f>AND('2015'!BI45,"AAAAAGXXn0A=")</f>
        <v>#VALUE!</v>
      </c>
      <c r="BN8" t="e">
        <f>AND('2015'!#REF!,"AAAAAGXXn0E=")</f>
        <v>#REF!</v>
      </c>
      <c r="BO8" t="e">
        <f>AND('2015'!BJ45,"AAAAAGXXn0I=")</f>
        <v>#VALUE!</v>
      </c>
      <c r="BP8" t="e">
        <f>AND('2015'!BK45,"AAAAAGXXn0M=")</f>
        <v>#VALUE!</v>
      </c>
      <c r="BQ8" t="e">
        <f>AND('2015'!BL45,"AAAAAGXXn0Q=")</f>
        <v>#VALUE!</v>
      </c>
      <c r="BR8" t="e">
        <f>AND('2015'!BM45,"AAAAAGXXn0U=")</f>
        <v>#VALUE!</v>
      </c>
      <c r="BS8" t="e">
        <f>AND('2015'!BY45,"AAAAAGXXn0Y=")</f>
        <v>#VALUE!</v>
      </c>
      <c r="BT8">
        <f>IF('2015'!46:46,"AAAAAGXXn0c=",0)</f>
        <v>0</v>
      </c>
      <c r="BU8" t="e">
        <f>AND('2015'!A46,"AAAAAGXXn0g=")</f>
        <v>#VALUE!</v>
      </c>
      <c r="BV8" t="e">
        <f>AND('2015'!B46,"AAAAAGXXn0k=")</f>
        <v>#VALUE!</v>
      </c>
      <c r="BW8" t="e">
        <f>AND('2015'!C46,"AAAAAGXXn0o=")</f>
        <v>#VALUE!</v>
      </c>
      <c r="BX8" t="e">
        <f>AND('2015'!D46,"AAAAAGXXn0s=")</f>
        <v>#VALUE!</v>
      </c>
      <c r="BY8" t="e">
        <f>AND('2015'!E46,"AAAAAGXXn0w=")</f>
        <v>#VALUE!</v>
      </c>
      <c r="BZ8" t="e">
        <f>AND('2015'!F46,"AAAAAGXXn00=")</f>
        <v>#VALUE!</v>
      </c>
      <c r="CA8" t="e">
        <f>AND('2015'!G46,"AAAAAGXXn04=")</f>
        <v>#VALUE!</v>
      </c>
      <c r="CB8" t="e">
        <f>AND('2015'!H46,"AAAAAGXXn08=")</f>
        <v>#VALUE!</v>
      </c>
      <c r="CC8" t="e">
        <f>AND('2015'!I46,"AAAAAGXXn1A=")</f>
        <v>#VALUE!</v>
      </c>
      <c r="CD8" t="e">
        <f>AND('2015'!J46,"AAAAAGXXn1E=")</f>
        <v>#VALUE!</v>
      </c>
      <c r="CE8" t="e">
        <f>AND('2015'!K46,"AAAAAGXXn1I=")</f>
        <v>#VALUE!</v>
      </c>
      <c r="CF8" t="e">
        <f>AND('2015'!L46,"AAAAAGXXn1M=")</f>
        <v>#VALUE!</v>
      </c>
      <c r="CG8" t="e">
        <f>AND('2015'!M46,"AAAAAGXXn1Q=")</f>
        <v>#VALUE!</v>
      </c>
      <c r="CH8" t="e">
        <f>AND('2015'!N46,"AAAAAGXXn1U=")</f>
        <v>#VALUE!</v>
      </c>
      <c r="CI8" t="e">
        <f>AND('2015'!O46,"AAAAAGXXn1Y=")</f>
        <v>#VALUE!</v>
      </c>
      <c r="CJ8" t="e">
        <f>AND('2015'!P46,"AAAAAGXXn1c=")</f>
        <v>#VALUE!</v>
      </c>
      <c r="CK8" t="e">
        <f>AND('2015'!Q46,"AAAAAGXXn1g=")</f>
        <v>#VALUE!</v>
      </c>
      <c r="CL8" t="e">
        <f>AND('2015'!R46,"AAAAAGXXn1k=")</f>
        <v>#VALUE!</v>
      </c>
      <c r="CM8" t="e">
        <f>AND('2015'!S46,"AAAAAGXXn1o=")</f>
        <v>#VALUE!</v>
      </c>
      <c r="CN8" t="e">
        <f>AND('2015'!T46,"AAAAAGXXn1s=")</f>
        <v>#VALUE!</v>
      </c>
      <c r="CO8" t="e">
        <f>AND('2015'!U46,"AAAAAGXXn1w=")</f>
        <v>#VALUE!</v>
      </c>
      <c r="CP8" t="e">
        <f>AND('2015'!V46,"AAAAAGXXn10=")</f>
        <v>#VALUE!</v>
      </c>
      <c r="CQ8" t="e">
        <f>AND('2015'!W46,"AAAAAGXXn14=")</f>
        <v>#VALUE!</v>
      </c>
      <c r="CR8" t="e">
        <f>AND('2015'!X46,"AAAAAGXXn18=")</f>
        <v>#VALUE!</v>
      </c>
      <c r="CS8" t="e">
        <f>AND('2015'!Y46,"AAAAAGXXn2A=")</f>
        <v>#VALUE!</v>
      </c>
      <c r="CT8" t="e">
        <f>AND('2015'!Z46,"AAAAAGXXn2E=")</f>
        <v>#VALUE!</v>
      </c>
      <c r="CU8" t="e">
        <f>AND('2015'!AA46,"AAAAAGXXn2I=")</f>
        <v>#VALUE!</v>
      </c>
      <c r="CV8" t="e">
        <f>AND('2015'!AB46,"AAAAAGXXn2M=")</f>
        <v>#VALUE!</v>
      </c>
      <c r="CW8" t="e">
        <f>AND('2015'!AC46,"AAAAAGXXn2Q=")</f>
        <v>#VALUE!</v>
      </c>
      <c r="CX8" t="e">
        <f>AND('2015'!AD46,"AAAAAGXXn2U=")</f>
        <v>#VALUE!</v>
      </c>
      <c r="CY8" t="e">
        <f>AND('2015'!AE46,"AAAAAGXXn2Y=")</f>
        <v>#VALUE!</v>
      </c>
      <c r="CZ8" t="e">
        <f>AND('2015'!AF46,"AAAAAGXXn2c=")</f>
        <v>#VALUE!</v>
      </c>
      <c r="DA8" t="e">
        <f>AND('2015'!AG46,"AAAAAGXXn2g=")</f>
        <v>#VALUE!</v>
      </c>
      <c r="DB8" t="e">
        <f>AND('2015'!AH46,"AAAAAGXXn2k=")</f>
        <v>#VALUE!</v>
      </c>
      <c r="DC8" t="e">
        <f>AND('2015'!AI46,"AAAAAGXXn2o=")</f>
        <v>#VALUE!</v>
      </c>
      <c r="DD8" t="e">
        <f>AND('2015'!AJ46,"AAAAAGXXn2s=")</f>
        <v>#VALUE!</v>
      </c>
      <c r="DE8" t="e">
        <f>AND('2015'!AK46,"AAAAAGXXn2w=")</f>
        <v>#VALUE!</v>
      </c>
      <c r="DF8" t="e">
        <f>AND('2015'!AL46,"AAAAAGXXn20=")</f>
        <v>#VALUE!</v>
      </c>
      <c r="DG8" t="e">
        <f>AND('2015'!AM46,"AAAAAGXXn24=")</f>
        <v>#VALUE!</v>
      </c>
      <c r="DH8" t="e">
        <f>AND('2015'!AN46,"AAAAAGXXn28=")</f>
        <v>#VALUE!</v>
      </c>
      <c r="DI8" t="e">
        <f>AND('2015'!AO46,"AAAAAGXXn3A=")</f>
        <v>#VALUE!</v>
      </c>
      <c r="DJ8" t="e">
        <f>AND('2015'!AP46,"AAAAAGXXn3E=")</f>
        <v>#VALUE!</v>
      </c>
      <c r="DK8" t="e">
        <f>AND('2015'!AQ46,"AAAAAGXXn3I=")</f>
        <v>#VALUE!</v>
      </c>
      <c r="DL8" t="e">
        <f>AND('2015'!AR46,"AAAAAGXXn3M=")</f>
        <v>#VALUE!</v>
      </c>
      <c r="DM8" t="e">
        <f>AND('2015'!AS46,"AAAAAGXXn3Q=")</f>
        <v>#VALUE!</v>
      </c>
      <c r="DN8" t="e">
        <f>AND('2015'!AT46,"AAAAAGXXn3U=")</f>
        <v>#VALUE!</v>
      </c>
      <c r="DO8" t="e">
        <f>AND('2015'!#REF!,"AAAAAGXXn3Y=")</f>
        <v>#REF!</v>
      </c>
      <c r="DP8" t="e">
        <f>AND('2015'!AU46,"AAAAAGXXn3c=")</f>
        <v>#VALUE!</v>
      </c>
      <c r="DQ8" t="e">
        <f>AND('2015'!AV46,"AAAAAGXXn3g=")</f>
        <v>#VALUE!</v>
      </c>
      <c r="DR8" t="e">
        <f>AND('2015'!AW46,"AAAAAGXXn3k=")</f>
        <v>#VALUE!</v>
      </c>
      <c r="DS8" t="e">
        <f>AND('2015'!AX46,"AAAAAGXXn3o=")</f>
        <v>#VALUE!</v>
      </c>
      <c r="DT8" t="e">
        <f>AND('2015'!AY46,"AAAAAGXXn3s=")</f>
        <v>#VALUE!</v>
      </c>
      <c r="DU8" t="e">
        <f>AND('2015'!AZ46,"AAAAAGXXn3w=")</f>
        <v>#VALUE!</v>
      </c>
      <c r="DV8" t="e">
        <f>AND('2015'!BA46,"AAAAAGXXn30=")</f>
        <v>#VALUE!</v>
      </c>
      <c r="DW8" t="e">
        <f>AND('2015'!BB46,"AAAAAGXXn34=")</f>
        <v>#VALUE!</v>
      </c>
      <c r="DX8" t="e">
        <f>AND('2015'!BC46,"AAAAAGXXn38=")</f>
        <v>#VALUE!</v>
      </c>
      <c r="DY8" t="e">
        <f>AND('2015'!BD46,"AAAAAGXXn4A=")</f>
        <v>#VALUE!</v>
      </c>
      <c r="DZ8" t="e">
        <f>AND('2015'!BE46,"AAAAAGXXn4E=")</f>
        <v>#VALUE!</v>
      </c>
      <c r="EA8" t="e">
        <f>AND('2015'!BF46,"AAAAAGXXn4I=")</f>
        <v>#VALUE!</v>
      </c>
      <c r="EB8" t="e">
        <f>AND('2015'!BG46,"AAAAAGXXn4M=")</f>
        <v>#VALUE!</v>
      </c>
      <c r="EC8" t="e">
        <f>AND('2015'!BH46,"AAAAAGXXn4Q=")</f>
        <v>#VALUE!</v>
      </c>
      <c r="ED8" t="e">
        <f>AND('2015'!BI46,"AAAAAGXXn4U=")</f>
        <v>#VALUE!</v>
      </c>
      <c r="EE8" t="e">
        <f>AND('2015'!#REF!,"AAAAAGXXn4Y=")</f>
        <v>#REF!</v>
      </c>
      <c r="EF8" t="e">
        <f>AND('2015'!BJ46,"AAAAAGXXn4c=")</f>
        <v>#VALUE!</v>
      </c>
      <c r="EG8" t="e">
        <f>AND('2015'!BK46,"AAAAAGXXn4g=")</f>
        <v>#VALUE!</v>
      </c>
      <c r="EH8" t="e">
        <f>AND('2015'!BL46,"AAAAAGXXn4k=")</f>
        <v>#VALUE!</v>
      </c>
      <c r="EI8" t="e">
        <f>AND('2015'!BM46,"AAAAAGXXn4o=")</f>
        <v>#VALUE!</v>
      </c>
      <c r="EJ8" t="e">
        <f>AND('2015'!BY46,"AAAAAGXXn4s=")</f>
        <v>#VALUE!</v>
      </c>
      <c r="EK8">
        <f>IF('2015'!47:47,"AAAAAGXXn4w=",0)</f>
        <v>0</v>
      </c>
      <c r="EL8" t="e">
        <f>AND('2015'!A47,"AAAAAGXXn40=")</f>
        <v>#VALUE!</v>
      </c>
      <c r="EM8" t="e">
        <f>AND('2015'!B47,"AAAAAGXXn44=")</f>
        <v>#VALUE!</v>
      </c>
      <c r="EN8" t="e">
        <f>AND('2015'!C47,"AAAAAGXXn48=")</f>
        <v>#VALUE!</v>
      </c>
      <c r="EO8" t="e">
        <f>AND('2015'!D47,"AAAAAGXXn5A=")</f>
        <v>#VALUE!</v>
      </c>
      <c r="EP8" t="e">
        <f>AND('2015'!E47,"AAAAAGXXn5E=")</f>
        <v>#VALUE!</v>
      </c>
      <c r="EQ8" t="e">
        <f>AND('2015'!F47,"AAAAAGXXn5I=")</f>
        <v>#VALUE!</v>
      </c>
      <c r="ER8" t="e">
        <f>AND('2015'!G47,"AAAAAGXXn5M=")</f>
        <v>#VALUE!</v>
      </c>
      <c r="ES8" t="e">
        <f>AND('2015'!H47,"AAAAAGXXn5Q=")</f>
        <v>#VALUE!</v>
      </c>
      <c r="ET8" t="e">
        <f>AND('2015'!I47,"AAAAAGXXn5U=")</f>
        <v>#VALUE!</v>
      </c>
      <c r="EU8" t="e">
        <f>AND('2015'!J47,"AAAAAGXXn5Y=")</f>
        <v>#VALUE!</v>
      </c>
      <c r="EV8" t="e">
        <f>AND('2015'!K47,"AAAAAGXXn5c=")</f>
        <v>#VALUE!</v>
      </c>
      <c r="EW8" t="e">
        <f>AND('2015'!L47,"AAAAAGXXn5g=")</f>
        <v>#VALUE!</v>
      </c>
      <c r="EX8" t="e">
        <f>AND('2015'!M47,"AAAAAGXXn5k=")</f>
        <v>#VALUE!</v>
      </c>
      <c r="EY8" t="e">
        <f>AND('2015'!N47,"AAAAAGXXn5o=")</f>
        <v>#VALUE!</v>
      </c>
      <c r="EZ8" t="e">
        <f>AND('2015'!O47,"AAAAAGXXn5s=")</f>
        <v>#VALUE!</v>
      </c>
      <c r="FA8" t="e">
        <f>AND('2015'!P47,"AAAAAGXXn5w=")</f>
        <v>#VALUE!</v>
      </c>
      <c r="FB8" t="e">
        <f>AND('2015'!Q47,"AAAAAGXXn50=")</f>
        <v>#VALUE!</v>
      </c>
      <c r="FC8" t="e">
        <f>AND('2015'!R47,"AAAAAGXXn54=")</f>
        <v>#VALUE!</v>
      </c>
      <c r="FD8" t="e">
        <f>AND('2015'!S47,"AAAAAGXXn58=")</f>
        <v>#VALUE!</v>
      </c>
      <c r="FE8" t="e">
        <f>AND('2015'!T47,"AAAAAGXXn6A=")</f>
        <v>#VALUE!</v>
      </c>
      <c r="FF8" t="e">
        <f>AND('2015'!U47,"AAAAAGXXn6E=")</f>
        <v>#VALUE!</v>
      </c>
      <c r="FG8" t="e">
        <f>AND('2015'!V47,"AAAAAGXXn6I=")</f>
        <v>#VALUE!</v>
      </c>
      <c r="FH8" t="e">
        <f>AND('2015'!W47,"AAAAAGXXn6M=")</f>
        <v>#VALUE!</v>
      </c>
      <c r="FI8" t="e">
        <f>AND('2015'!X47,"AAAAAGXXn6Q=")</f>
        <v>#VALUE!</v>
      </c>
      <c r="FJ8" t="e">
        <f>AND('2015'!Y47,"AAAAAGXXn6U=")</f>
        <v>#VALUE!</v>
      </c>
      <c r="FK8" t="e">
        <f>AND('2015'!Z47,"AAAAAGXXn6Y=")</f>
        <v>#VALUE!</v>
      </c>
      <c r="FL8" t="e">
        <f>AND('2015'!AA47,"AAAAAGXXn6c=")</f>
        <v>#VALUE!</v>
      </c>
      <c r="FM8" t="e">
        <f>AND('2015'!AB47,"AAAAAGXXn6g=")</f>
        <v>#VALUE!</v>
      </c>
      <c r="FN8" t="e">
        <f>AND('2015'!AC47,"AAAAAGXXn6k=")</f>
        <v>#VALUE!</v>
      </c>
      <c r="FO8" t="e">
        <f>AND('2015'!AD47,"AAAAAGXXn6o=")</f>
        <v>#VALUE!</v>
      </c>
      <c r="FP8" t="e">
        <f>AND('2015'!AE47,"AAAAAGXXn6s=")</f>
        <v>#VALUE!</v>
      </c>
      <c r="FQ8" t="e">
        <f>AND('2015'!AF47,"AAAAAGXXn6w=")</f>
        <v>#VALUE!</v>
      </c>
      <c r="FR8" t="e">
        <f>AND('2015'!AG47,"AAAAAGXXn60=")</f>
        <v>#VALUE!</v>
      </c>
      <c r="FS8" t="e">
        <f>AND('2015'!AH47,"AAAAAGXXn64=")</f>
        <v>#VALUE!</v>
      </c>
      <c r="FT8" t="e">
        <f>AND('2015'!AI47,"AAAAAGXXn68=")</f>
        <v>#VALUE!</v>
      </c>
      <c r="FU8" t="e">
        <f>AND('2015'!AJ47,"AAAAAGXXn7A=")</f>
        <v>#VALUE!</v>
      </c>
      <c r="FV8" t="e">
        <f>AND('2015'!AK47,"AAAAAGXXn7E=")</f>
        <v>#VALUE!</v>
      </c>
      <c r="FW8" t="e">
        <f>AND('2015'!AL47,"AAAAAGXXn7I=")</f>
        <v>#VALUE!</v>
      </c>
      <c r="FX8" t="e">
        <f>AND('2015'!AM47,"AAAAAGXXn7M=")</f>
        <v>#VALUE!</v>
      </c>
      <c r="FY8" t="e">
        <f>AND('2015'!AN47,"AAAAAGXXn7Q=")</f>
        <v>#VALUE!</v>
      </c>
      <c r="FZ8" t="e">
        <f>AND('2015'!AO47,"AAAAAGXXn7U=")</f>
        <v>#VALUE!</v>
      </c>
      <c r="GA8" t="e">
        <f>AND('2015'!AP47,"AAAAAGXXn7Y=")</f>
        <v>#VALUE!</v>
      </c>
      <c r="GB8" t="e">
        <f>AND('2015'!AQ47,"AAAAAGXXn7c=")</f>
        <v>#VALUE!</v>
      </c>
      <c r="GC8" t="e">
        <f>AND('2015'!AR47,"AAAAAGXXn7g=")</f>
        <v>#VALUE!</v>
      </c>
      <c r="GD8" t="e">
        <f>AND('2015'!AS47,"AAAAAGXXn7k=")</f>
        <v>#VALUE!</v>
      </c>
      <c r="GE8" t="e">
        <f>AND('2015'!AT47,"AAAAAGXXn7o=")</f>
        <v>#VALUE!</v>
      </c>
      <c r="GF8" t="e">
        <f>AND('2015'!#REF!,"AAAAAGXXn7s=")</f>
        <v>#REF!</v>
      </c>
      <c r="GG8" t="e">
        <f>AND('2015'!AU47,"AAAAAGXXn7w=")</f>
        <v>#VALUE!</v>
      </c>
      <c r="GH8" t="e">
        <f>AND('2015'!AV47,"AAAAAGXXn70=")</f>
        <v>#VALUE!</v>
      </c>
      <c r="GI8" t="e">
        <f>AND('2015'!AW47,"AAAAAGXXn74=")</f>
        <v>#VALUE!</v>
      </c>
      <c r="GJ8" t="e">
        <f>AND('2015'!AX47,"AAAAAGXXn78=")</f>
        <v>#VALUE!</v>
      </c>
      <c r="GK8" t="e">
        <f>AND('2015'!AY47,"AAAAAGXXn8A=")</f>
        <v>#VALUE!</v>
      </c>
      <c r="GL8" t="e">
        <f>AND('2015'!AZ47,"AAAAAGXXn8E=")</f>
        <v>#VALUE!</v>
      </c>
      <c r="GM8" t="e">
        <f>AND('2015'!BA47,"AAAAAGXXn8I=")</f>
        <v>#VALUE!</v>
      </c>
      <c r="GN8" t="e">
        <f>AND('2015'!BB47,"AAAAAGXXn8M=")</f>
        <v>#VALUE!</v>
      </c>
      <c r="GO8" t="e">
        <f>AND('2015'!BC47,"AAAAAGXXn8Q=")</f>
        <v>#VALUE!</v>
      </c>
      <c r="GP8" t="e">
        <f>AND('2015'!BD47,"AAAAAGXXn8U=")</f>
        <v>#VALUE!</v>
      </c>
      <c r="GQ8" t="e">
        <f>AND('2015'!BE47,"AAAAAGXXn8Y=")</f>
        <v>#VALUE!</v>
      </c>
      <c r="GR8" t="e">
        <f>AND('2015'!BF47,"AAAAAGXXn8c=")</f>
        <v>#VALUE!</v>
      </c>
      <c r="GS8" t="e">
        <f>AND('2015'!BG47,"AAAAAGXXn8g=")</f>
        <v>#VALUE!</v>
      </c>
      <c r="GT8" t="e">
        <f>AND('2015'!BH47,"AAAAAGXXn8k=")</f>
        <v>#VALUE!</v>
      </c>
      <c r="GU8" t="e">
        <f>AND('2015'!BI47,"AAAAAGXXn8o=")</f>
        <v>#VALUE!</v>
      </c>
      <c r="GV8" t="e">
        <f>AND('2015'!#REF!,"AAAAAGXXn8s=")</f>
        <v>#REF!</v>
      </c>
      <c r="GW8" t="e">
        <f>AND('2015'!BJ47,"AAAAAGXXn8w=")</f>
        <v>#VALUE!</v>
      </c>
      <c r="GX8" t="e">
        <f>AND('2015'!BK47,"AAAAAGXXn80=")</f>
        <v>#VALUE!</v>
      </c>
      <c r="GY8" t="e">
        <f>AND('2015'!BL47,"AAAAAGXXn84=")</f>
        <v>#VALUE!</v>
      </c>
      <c r="GZ8" t="e">
        <f>AND('2015'!BM47,"AAAAAGXXn88=")</f>
        <v>#VALUE!</v>
      </c>
      <c r="HA8" t="e">
        <f>AND('2015'!BY47,"AAAAAGXXn9A=")</f>
        <v>#VALUE!</v>
      </c>
      <c r="HB8">
        <f>IF('2015'!48:48,"AAAAAGXXn9E=",0)</f>
        <v>0</v>
      </c>
      <c r="HC8" t="e">
        <f>AND('2015'!A48,"AAAAAGXXn9I=")</f>
        <v>#VALUE!</v>
      </c>
      <c r="HD8" t="e">
        <f>AND('2015'!B48,"AAAAAGXXn9M=")</f>
        <v>#VALUE!</v>
      </c>
      <c r="HE8" t="e">
        <f>AND('2015'!C48,"AAAAAGXXn9Q=")</f>
        <v>#VALUE!</v>
      </c>
      <c r="HF8" t="e">
        <f>AND('2015'!D48,"AAAAAGXXn9U=")</f>
        <v>#VALUE!</v>
      </c>
      <c r="HG8" t="e">
        <f>AND('2015'!E48,"AAAAAGXXn9Y=")</f>
        <v>#VALUE!</v>
      </c>
      <c r="HH8" t="e">
        <f>AND('2015'!F48,"AAAAAGXXn9c=")</f>
        <v>#VALUE!</v>
      </c>
      <c r="HI8" t="e">
        <f>AND('2015'!G48,"AAAAAGXXn9g=")</f>
        <v>#VALUE!</v>
      </c>
      <c r="HJ8" t="e">
        <f>AND('2015'!H48,"AAAAAGXXn9k=")</f>
        <v>#VALUE!</v>
      </c>
      <c r="HK8" t="e">
        <f>AND('2015'!I48,"AAAAAGXXn9o=")</f>
        <v>#VALUE!</v>
      </c>
      <c r="HL8" t="e">
        <f>AND('2015'!J48,"AAAAAGXXn9s=")</f>
        <v>#VALUE!</v>
      </c>
      <c r="HM8" t="e">
        <f>AND('2015'!K48,"AAAAAGXXn9w=")</f>
        <v>#VALUE!</v>
      </c>
      <c r="HN8" t="e">
        <f>AND('2015'!L48,"AAAAAGXXn90=")</f>
        <v>#VALUE!</v>
      </c>
      <c r="HO8" t="e">
        <f>AND('2015'!M48,"AAAAAGXXn94=")</f>
        <v>#VALUE!</v>
      </c>
      <c r="HP8" t="e">
        <f>AND('2015'!N48,"AAAAAGXXn98=")</f>
        <v>#VALUE!</v>
      </c>
      <c r="HQ8" t="e">
        <f>AND('2015'!O48,"AAAAAGXXn+A=")</f>
        <v>#VALUE!</v>
      </c>
      <c r="HR8" t="e">
        <f>AND('2015'!P48,"AAAAAGXXn+E=")</f>
        <v>#VALUE!</v>
      </c>
      <c r="HS8" t="e">
        <f>AND('2015'!Q48,"AAAAAGXXn+I=")</f>
        <v>#VALUE!</v>
      </c>
      <c r="HT8" t="e">
        <f>AND('2015'!R48,"AAAAAGXXn+M=")</f>
        <v>#VALUE!</v>
      </c>
      <c r="HU8" t="e">
        <f>AND('2015'!S48,"AAAAAGXXn+Q=")</f>
        <v>#VALUE!</v>
      </c>
      <c r="HV8" t="e">
        <f>AND('2015'!T48,"AAAAAGXXn+U=")</f>
        <v>#VALUE!</v>
      </c>
      <c r="HW8" t="e">
        <f>AND('2015'!U48,"AAAAAGXXn+Y=")</f>
        <v>#VALUE!</v>
      </c>
      <c r="HX8" t="e">
        <f>AND('2015'!V48,"AAAAAGXXn+c=")</f>
        <v>#VALUE!</v>
      </c>
      <c r="HY8" t="e">
        <f>AND('2015'!W48,"AAAAAGXXn+g=")</f>
        <v>#VALUE!</v>
      </c>
      <c r="HZ8" t="e">
        <f>AND('2015'!X48,"AAAAAGXXn+k=")</f>
        <v>#VALUE!</v>
      </c>
      <c r="IA8" t="e">
        <f>AND('2015'!Y48,"AAAAAGXXn+o=")</f>
        <v>#VALUE!</v>
      </c>
      <c r="IB8" t="e">
        <f>AND('2015'!Z48,"AAAAAGXXn+s=")</f>
        <v>#VALUE!</v>
      </c>
      <c r="IC8" t="e">
        <f>AND('2015'!AA48,"AAAAAGXXn+w=")</f>
        <v>#VALUE!</v>
      </c>
      <c r="ID8" t="e">
        <f>AND('2015'!AB48,"AAAAAGXXn+0=")</f>
        <v>#VALUE!</v>
      </c>
      <c r="IE8" t="e">
        <f>AND('2015'!AC48,"AAAAAGXXn+4=")</f>
        <v>#VALUE!</v>
      </c>
      <c r="IF8" t="e">
        <f>AND('2015'!AD48,"AAAAAGXXn+8=")</f>
        <v>#VALUE!</v>
      </c>
      <c r="IG8" t="e">
        <f>AND('2015'!AE48,"AAAAAGXXn/A=")</f>
        <v>#VALUE!</v>
      </c>
      <c r="IH8" t="e">
        <f>AND('2015'!AF48,"AAAAAGXXn/E=")</f>
        <v>#VALUE!</v>
      </c>
      <c r="II8" t="e">
        <f>AND('2015'!AG48,"AAAAAGXXn/I=")</f>
        <v>#VALUE!</v>
      </c>
      <c r="IJ8" t="e">
        <f>AND('2015'!AH48,"AAAAAGXXn/M=")</f>
        <v>#VALUE!</v>
      </c>
      <c r="IK8" t="e">
        <f>AND('2015'!AI48,"AAAAAGXXn/Q=")</f>
        <v>#VALUE!</v>
      </c>
      <c r="IL8" t="e">
        <f>AND('2015'!AJ48,"AAAAAGXXn/U=")</f>
        <v>#VALUE!</v>
      </c>
      <c r="IM8" t="e">
        <f>AND('2015'!AK48,"AAAAAGXXn/Y=")</f>
        <v>#VALUE!</v>
      </c>
      <c r="IN8" t="e">
        <f>AND('2015'!AL48,"AAAAAGXXn/c=")</f>
        <v>#VALUE!</v>
      </c>
      <c r="IO8" t="e">
        <f>AND('2015'!AM48,"AAAAAGXXn/g=")</f>
        <v>#VALUE!</v>
      </c>
      <c r="IP8" t="e">
        <f>AND('2015'!AN48,"AAAAAGXXn/k=")</f>
        <v>#VALUE!</v>
      </c>
      <c r="IQ8" t="e">
        <f>AND('2015'!AO48,"AAAAAGXXn/o=")</f>
        <v>#VALUE!</v>
      </c>
      <c r="IR8" t="e">
        <f>AND('2015'!AP48,"AAAAAGXXn/s=")</f>
        <v>#VALUE!</v>
      </c>
      <c r="IS8" t="e">
        <f>AND('2015'!AQ48,"AAAAAGXXn/w=")</f>
        <v>#VALUE!</v>
      </c>
      <c r="IT8" t="e">
        <f>AND('2015'!AR48,"AAAAAGXXn/0=")</f>
        <v>#VALUE!</v>
      </c>
      <c r="IU8" t="e">
        <f>AND('2015'!AS48,"AAAAAGXXn/4=")</f>
        <v>#VALUE!</v>
      </c>
      <c r="IV8" t="e">
        <f>AND('2015'!AT48,"AAAAAGXXn/8=")</f>
        <v>#VALUE!</v>
      </c>
    </row>
    <row r="9" spans="1:256" x14ac:dyDescent="0.25">
      <c r="A9" t="e">
        <f>AND('2015'!#REF!,"AAAAAH93/wA=")</f>
        <v>#REF!</v>
      </c>
      <c r="B9" t="e">
        <f>AND('2015'!AU48,"AAAAAH93/wE=")</f>
        <v>#VALUE!</v>
      </c>
      <c r="C9" t="e">
        <f>AND('2015'!AV48,"AAAAAH93/wI=")</f>
        <v>#VALUE!</v>
      </c>
      <c r="D9" t="e">
        <f>AND('2015'!AW48,"AAAAAH93/wM=")</f>
        <v>#VALUE!</v>
      </c>
      <c r="E9" t="e">
        <f>AND('2015'!AX48,"AAAAAH93/wQ=")</f>
        <v>#VALUE!</v>
      </c>
      <c r="F9" t="e">
        <f>AND('2015'!AY48,"AAAAAH93/wU=")</f>
        <v>#VALUE!</v>
      </c>
      <c r="G9" t="e">
        <f>AND('2015'!AZ48,"AAAAAH93/wY=")</f>
        <v>#VALUE!</v>
      </c>
      <c r="H9" t="e">
        <f>AND('2015'!BA48,"AAAAAH93/wc=")</f>
        <v>#VALUE!</v>
      </c>
      <c r="I9" t="e">
        <f>AND('2015'!BB48,"AAAAAH93/wg=")</f>
        <v>#VALUE!</v>
      </c>
      <c r="J9" t="e">
        <f>AND('2015'!BC48,"AAAAAH93/wk=")</f>
        <v>#VALUE!</v>
      </c>
      <c r="K9" t="e">
        <f>AND('2015'!BD48,"AAAAAH93/wo=")</f>
        <v>#VALUE!</v>
      </c>
      <c r="L9" t="e">
        <f>AND('2015'!BE48,"AAAAAH93/ws=")</f>
        <v>#VALUE!</v>
      </c>
      <c r="M9" t="e">
        <f>AND('2015'!BF48,"AAAAAH93/ww=")</f>
        <v>#VALUE!</v>
      </c>
      <c r="N9" t="e">
        <f>AND('2015'!BG48,"AAAAAH93/w0=")</f>
        <v>#VALUE!</v>
      </c>
      <c r="O9" t="e">
        <f>AND('2015'!BH48,"AAAAAH93/w4=")</f>
        <v>#VALUE!</v>
      </c>
      <c r="P9" t="e">
        <f>AND('2015'!BI48,"AAAAAH93/w8=")</f>
        <v>#VALUE!</v>
      </c>
      <c r="Q9" t="e">
        <f>AND('2015'!#REF!,"AAAAAH93/xA=")</f>
        <v>#REF!</v>
      </c>
      <c r="R9" t="e">
        <f>AND('2015'!BJ48,"AAAAAH93/xE=")</f>
        <v>#VALUE!</v>
      </c>
      <c r="S9" t="e">
        <f>AND('2015'!BK48,"AAAAAH93/xI=")</f>
        <v>#VALUE!</v>
      </c>
      <c r="T9" t="e">
        <f>AND('2015'!BL48,"AAAAAH93/xM=")</f>
        <v>#VALUE!</v>
      </c>
      <c r="U9" t="e">
        <f>AND('2015'!BM48,"AAAAAH93/xQ=")</f>
        <v>#VALUE!</v>
      </c>
      <c r="V9" t="e">
        <f>AND('2015'!BY48,"AAAAAH93/xU=")</f>
        <v>#VALUE!</v>
      </c>
      <c r="W9" t="str">
        <f>IF('2015'!49:49,"AAAAAH93/xY=",0)</f>
        <v>AAAAAH93/xY=</v>
      </c>
      <c r="X9" t="e">
        <f>AND('2015'!A49,"AAAAAH93/xc=")</f>
        <v>#VALUE!</v>
      </c>
      <c r="Y9" t="e">
        <f>AND('2015'!B49,"AAAAAH93/xg=")</f>
        <v>#VALUE!</v>
      </c>
      <c r="Z9" t="e">
        <f>AND('2015'!C49,"AAAAAH93/xk=")</f>
        <v>#VALUE!</v>
      </c>
      <c r="AA9" t="e">
        <f>AND('2015'!D49,"AAAAAH93/xo=")</f>
        <v>#VALUE!</v>
      </c>
      <c r="AB9" t="e">
        <f>AND('2015'!E49,"AAAAAH93/xs=")</f>
        <v>#VALUE!</v>
      </c>
      <c r="AC9" t="e">
        <f>AND('2015'!F49,"AAAAAH93/xw=")</f>
        <v>#VALUE!</v>
      </c>
      <c r="AD9" t="e">
        <f>AND('2015'!G49,"AAAAAH93/x0=")</f>
        <v>#VALUE!</v>
      </c>
      <c r="AE9" t="e">
        <f>AND('2015'!H49,"AAAAAH93/x4=")</f>
        <v>#VALUE!</v>
      </c>
      <c r="AF9" t="e">
        <f>AND('2015'!I49,"AAAAAH93/x8=")</f>
        <v>#VALUE!</v>
      </c>
      <c r="AG9" t="e">
        <f>AND('2015'!J49,"AAAAAH93/yA=")</f>
        <v>#VALUE!</v>
      </c>
      <c r="AH9" t="e">
        <f>AND('2015'!K49,"AAAAAH93/yE=")</f>
        <v>#VALUE!</v>
      </c>
      <c r="AI9" t="e">
        <f>AND('2015'!L49,"AAAAAH93/yI=")</f>
        <v>#VALUE!</v>
      </c>
      <c r="AJ9" t="e">
        <f>AND('2015'!M49,"AAAAAH93/yM=")</f>
        <v>#VALUE!</v>
      </c>
      <c r="AK9" t="e">
        <f>AND('2015'!N49,"AAAAAH93/yQ=")</f>
        <v>#VALUE!</v>
      </c>
      <c r="AL9" t="e">
        <f>AND('2015'!O49,"AAAAAH93/yU=")</f>
        <v>#VALUE!</v>
      </c>
      <c r="AM9" t="e">
        <f>AND('2015'!P49,"AAAAAH93/yY=")</f>
        <v>#VALUE!</v>
      </c>
      <c r="AN9" t="e">
        <f>AND('2015'!Q49,"AAAAAH93/yc=")</f>
        <v>#VALUE!</v>
      </c>
      <c r="AO9" t="e">
        <f>AND('2015'!R49,"AAAAAH93/yg=")</f>
        <v>#VALUE!</v>
      </c>
      <c r="AP9" t="e">
        <f>AND('2015'!S49,"AAAAAH93/yk=")</f>
        <v>#VALUE!</v>
      </c>
      <c r="AQ9" t="e">
        <f>AND('2015'!T49,"AAAAAH93/yo=")</f>
        <v>#VALUE!</v>
      </c>
      <c r="AR9" t="e">
        <f>AND('2015'!U49,"AAAAAH93/ys=")</f>
        <v>#VALUE!</v>
      </c>
      <c r="AS9" t="e">
        <f>AND('2015'!V49,"AAAAAH93/yw=")</f>
        <v>#VALUE!</v>
      </c>
      <c r="AT9" t="e">
        <f>AND('2015'!W49,"AAAAAH93/y0=")</f>
        <v>#VALUE!</v>
      </c>
      <c r="AU9" t="e">
        <f>AND('2015'!X49,"AAAAAH93/y4=")</f>
        <v>#VALUE!</v>
      </c>
      <c r="AV9" t="e">
        <f>AND('2015'!Y49,"AAAAAH93/y8=")</f>
        <v>#VALUE!</v>
      </c>
      <c r="AW9" t="e">
        <f>AND('2015'!Z49,"AAAAAH93/zA=")</f>
        <v>#VALUE!</v>
      </c>
      <c r="AX9" t="e">
        <f>AND('2015'!AA49,"AAAAAH93/zE=")</f>
        <v>#VALUE!</v>
      </c>
      <c r="AY9" t="e">
        <f>AND('2015'!AB49,"AAAAAH93/zI=")</f>
        <v>#VALUE!</v>
      </c>
      <c r="AZ9" t="e">
        <f>AND('2015'!AC49,"AAAAAH93/zM=")</f>
        <v>#VALUE!</v>
      </c>
      <c r="BA9" t="e">
        <f>AND('2015'!AD49,"AAAAAH93/zQ=")</f>
        <v>#VALUE!</v>
      </c>
      <c r="BB9" t="e">
        <f>AND('2015'!AE49,"AAAAAH93/zU=")</f>
        <v>#VALUE!</v>
      </c>
      <c r="BC9" t="e">
        <f>AND('2015'!AF49,"AAAAAH93/zY=")</f>
        <v>#VALUE!</v>
      </c>
      <c r="BD9" t="e">
        <f>AND('2015'!AG49,"AAAAAH93/zc=")</f>
        <v>#VALUE!</v>
      </c>
      <c r="BE9" t="e">
        <f>AND('2015'!AH49,"AAAAAH93/zg=")</f>
        <v>#VALUE!</v>
      </c>
      <c r="BF9" t="e">
        <f>AND('2015'!AI49,"AAAAAH93/zk=")</f>
        <v>#VALUE!</v>
      </c>
      <c r="BG9" t="e">
        <f>AND('2015'!AJ49,"AAAAAH93/zo=")</f>
        <v>#VALUE!</v>
      </c>
      <c r="BH9" t="e">
        <f>AND('2015'!AK49,"AAAAAH93/zs=")</f>
        <v>#VALUE!</v>
      </c>
      <c r="BI9" t="e">
        <f>AND('2015'!AL49,"AAAAAH93/zw=")</f>
        <v>#VALUE!</v>
      </c>
      <c r="BJ9" t="e">
        <f>AND('2015'!AM49,"AAAAAH93/z0=")</f>
        <v>#VALUE!</v>
      </c>
      <c r="BK9" t="e">
        <f>AND('2015'!AN49,"AAAAAH93/z4=")</f>
        <v>#VALUE!</v>
      </c>
      <c r="BL9" t="e">
        <f>AND('2015'!AO49,"AAAAAH93/z8=")</f>
        <v>#VALUE!</v>
      </c>
      <c r="BM9" t="e">
        <f>AND('2015'!AP49,"AAAAAH93/0A=")</f>
        <v>#VALUE!</v>
      </c>
      <c r="BN9" t="e">
        <f>AND('2015'!AQ49,"AAAAAH93/0E=")</f>
        <v>#VALUE!</v>
      </c>
      <c r="BO9" t="e">
        <f>AND('2015'!AR49,"AAAAAH93/0I=")</f>
        <v>#VALUE!</v>
      </c>
      <c r="BP9" t="e">
        <f>AND('2015'!AS49,"AAAAAH93/0M=")</f>
        <v>#VALUE!</v>
      </c>
      <c r="BQ9" t="e">
        <f>AND('2015'!AT49,"AAAAAH93/0Q=")</f>
        <v>#VALUE!</v>
      </c>
      <c r="BR9" t="e">
        <f>AND('2015'!#REF!,"AAAAAH93/0U=")</f>
        <v>#REF!</v>
      </c>
      <c r="BS9" t="e">
        <f>AND('2015'!AU49,"AAAAAH93/0Y=")</f>
        <v>#VALUE!</v>
      </c>
      <c r="BT9" t="e">
        <f>AND('2015'!AV49,"AAAAAH93/0c=")</f>
        <v>#VALUE!</v>
      </c>
      <c r="BU9" t="e">
        <f>AND('2015'!AW49,"AAAAAH93/0g=")</f>
        <v>#VALUE!</v>
      </c>
      <c r="BV9" t="e">
        <f>AND('2015'!AX49,"AAAAAH93/0k=")</f>
        <v>#VALUE!</v>
      </c>
      <c r="BW9" t="e">
        <f>AND('2015'!AY49,"AAAAAH93/0o=")</f>
        <v>#VALUE!</v>
      </c>
      <c r="BX9" t="e">
        <f>AND('2015'!AZ49,"AAAAAH93/0s=")</f>
        <v>#VALUE!</v>
      </c>
      <c r="BY9" t="e">
        <f>AND('2015'!BA49,"AAAAAH93/0w=")</f>
        <v>#VALUE!</v>
      </c>
      <c r="BZ9" t="e">
        <f>AND('2015'!BB49,"AAAAAH93/00=")</f>
        <v>#VALUE!</v>
      </c>
      <c r="CA9" t="e">
        <f>AND('2015'!BC49,"AAAAAH93/04=")</f>
        <v>#VALUE!</v>
      </c>
      <c r="CB9" t="e">
        <f>AND('2015'!BD49,"AAAAAH93/08=")</f>
        <v>#VALUE!</v>
      </c>
      <c r="CC9" t="e">
        <f>AND('2015'!BE49,"AAAAAH93/1A=")</f>
        <v>#VALUE!</v>
      </c>
      <c r="CD9" t="e">
        <f>AND('2015'!BF49,"AAAAAH93/1E=")</f>
        <v>#VALUE!</v>
      </c>
      <c r="CE9" t="e">
        <f>AND('2015'!BG49,"AAAAAH93/1I=")</f>
        <v>#VALUE!</v>
      </c>
      <c r="CF9" t="e">
        <f>AND('2015'!BH49,"AAAAAH93/1M=")</f>
        <v>#VALUE!</v>
      </c>
      <c r="CG9" t="e">
        <f>AND('2015'!BI49,"AAAAAH93/1Q=")</f>
        <v>#VALUE!</v>
      </c>
      <c r="CH9" t="e">
        <f>AND('2015'!#REF!,"AAAAAH93/1U=")</f>
        <v>#REF!</v>
      </c>
      <c r="CI9" t="e">
        <f>AND('2015'!BJ49,"AAAAAH93/1Y=")</f>
        <v>#VALUE!</v>
      </c>
      <c r="CJ9" t="e">
        <f>AND('2015'!BK49,"AAAAAH93/1c=")</f>
        <v>#VALUE!</v>
      </c>
      <c r="CK9" t="e">
        <f>AND('2015'!BL49,"AAAAAH93/1g=")</f>
        <v>#VALUE!</v>
      </c>
      <c r="CL9" t="e">
        <f>AND('2015'!BM49,"AAAAAH93/1k=")</f>
        <v>#VALUE!</v>
      </c>
      <c r="CM9" t="e">
        <f>AND('2015'!BY49,"AAAAAH93/1o=")</f>
        <v>#VALUE!</v>
      </c>
      <c r="CN9">
        <f>IF('2015'!50:50,"AAAAAH93/1s=",0)</f>
        <v>0</v>
      </c>
      <c r="CO9" t="e">
        <f>AND('2015'!A50,"AAAAAH93/1w=")</f>
        <v>#VALUE!</v>
      </c>
      <c r="CP9" t="e">
        <f>AND('2015'!B50,"AAAAAH93/10=")</f>
        <v>#VALUE!</v>
      </c>
      <c r="CQ9" t="e">
        <f>AND('2015'!C50,"AAAAAH93/14=")</f>
        <v>#VALUE!</v>
      </c>
      <c r="CR9" t="e">
        <f>AND('2015'!D50,"AAAAAH93/18=")</f>
        <v>#VALUE!</v>
      </c>
      <c r="CS9" t="e">
        <f>AND('2015'!E50,"AAAAAH93/2A=")</f>
        <v>#VALUE!</v>
      </c>
      <c r="CT9" t="e">
        <f>AND('2015'!F50,"AAAAAH93/2E=")</f>
        <v>#VALUE!</v>
      </c>
      <c r="CU9" t="e">
        <f>AND('2015'!G50,"AAAAAH93/2I=")</f>
        <v>#VALUE!</v>
      </c>
      <c r="CV9" t="e">
        <f>AND('2015'!H50,"AAAAAH93/2M=")</f>
        <v>#VALUE!</v>
      </c>
      <c r="CW9" t="e">
        <f>AND('2015'!I50,"AAAAAH93/2Q=")</f>
        <v>#VALUE!</v>
      </c>
      <c r="CX9" t="e">
        <f>AND('2015'!J50,"AAAAAH93/2U=")</f>
        <v>#VALUE!</v>
      </c>
      <c r="CY9" t="e">
        <f>AND('2015'!K50,"AAAAAH93/2Y=")</f>
        <v>#VALUE!</v>
      </c>
      <c r="CZ9" t="e">
        <f>AND('2015'!L50,"AAAAAH93/2c=")</f>
        <v>#VALUE!</v>
      </c>
      <c r="DA9" t="e">
        <f>AND('2015'!M50,"AAAAAH93/2g=")</f>
        <v>#VALUE!</v>
      </c>
      <c r="DB9" t="e">
        <f>AND('2015'!N50,"AAAAAH93/2k=")</f>
        <v>#VALUE!</v>
      </c>
      <c r="DC9" t="e">
        <f>AND('2015'!O50,"AAAAAH93/2o=")</f>
        <v>#VALUE!</v>
      </c>
      <c r="DD9" t="e">
        <f>AND('2015'!P50,"AAAAAH93/2s=")</f>
        <v>#VALUE!</v>
      </c>
      <c r="DE9" t="e">
        <f>AND('2015'!Q50,"AAAAAH93/2w=")</f>
        <v>#VALUE!</v>
      </c>
      <c r="DF9" t="e">
        <f>AND('2015'!R50,"AAAAAH93/20=")</f>
        <v>#VALUE!</v>
      </c>
      <c r="DG9" t="e">
        <f>AND('2015'!S50,"AAAAAH93/24=")</f>
        <v>#VALUE!</v>
      </c>
      <c r="DH9" t="e">
        <f>AND('2015'!T50,"AAAAAH93/28=")</f>
        <v>#VALUE!</v>
      </c>
      <c r="DI9" t="e">
        <f>AND('2015'!U50,"AAAAAH93/3A=")</f>
        <v>#VALUE!</v>
      </c>
      <c r="DJ9" t="e">
        <f>AND('2015'!V50,"AAAAAH93/3E=")</f>
        <v>#VALUE!</v>
      </c>
      <c r="DK9" t="e">
        <f>AND('2015'!W50,"AAAAAH93/3I=")</f>
        <v>#VALUE!</v>
      </c>
      <c r="DL9" t="e">
        <f>AND('2015'!X50,"AAAAAH93/3M=")</f>
        <v>#VALUE!</v>
      </c>
      <c r="DM9" t="e">
        <f>AND('2015'!Y50,"AAAAAH93/3Q=")</f>
        <v>#VALUE!</v>
      </c>
      <c r="DN9" t="e">
        <f>AND('2015'!Z50,"AAAAAH93/3U=")</f>
        <v>#VALUE!</v>
      </c>
      <c r="DO9" t="e">
        <f>AND('2015'!AA50,"AAAAAH93/3Y=")</f>
        <v>#VALUE!</v>
      </c>
      <c r="DP9" t="e">
        <f>AND('2015'!AB50,"AAAAAH93/3c=")</f>
        <v>#VALUE!</v>
      </c>
      <c r="DQ9" t="e">
        <f>AND('2015'!AC50,"AAAAAH93/3g=")</f>
        <v>#VALUE!</v>
      </c>
      <c r="DR9" t="e">
        <f>AND('2015'!AD50,"AAAAAH93/3k=")</f>
        <v>#VALUE!</v>
      </c>
      <c r="DS9" t="e">
        <f>AND('2015'!AE50,"AAAAAH93/3o=")</f>
        <v>#VALUE!</v>
      </c>
      <c r="DT9" t="e">
        <f>AND('2015'!AF50,"AAAAAH93/3s=")</f>
        <v>#VALUE!</v>
      </c>
      <c r="DU9" t="e">
        <f>AND('2015'!AG50,"AAAAAH93/3w=")</f>
        <v>#VALUE!</v>
      </c>
      <c r="DV9" t="e">
        <f>AND('2015'!AH50,"AAAAAH93/30=")</f>
        <v>#VALUE!</v>
      </c>
      <c r="DW9" t="e">
        <f>AND('2015'!AI50,"AAAAAH93/34=")</f>
        <v>#VALUE!</v>
      </c>
      <c r="DX9" t="e">
        <f>AND('2015'!AJ50,"AAAAAH93/38=")</f>
        <v>#VALUE!</v>
      </c>
      <c r="DY9" t="e">
        <f>AND('2015'!AK50,"AAAAAH93/4A=")</f>
        <v>#VALUE!</v>
      </c>
      <c r="DZ9" t="e">
        <f>AND('2015'!AL50,"AAAAAH93/4E=")</f>
        <v>#VALUE!</v>
      </c>
      <c r="EA9" t="e">
        <f>AND('2015'!AM50,"AAAAAH93/4I=")</f>
        <v>#VALUE!</v>
      </c>
      <c r="EB9" t="e">
        <f>AND('2015'!AN50,"AAAAAH93/4M=")</f>
        <v>#VALUE!</v>
      </c>
      <c r="EC9" t="e">
        <f>AND('2015'!AO50,"AAAAAH93/4Q=")</f>
        <v>#VALUE!</v>
      </c>
      <c r="ED9" t="e">
        <f>AND('2015'!AP50,"AAAAAH93/4U=")</f>
        <v>#VALUE!</v>
      </c>
      <c r="EE9" t="e">
        <f>AND('2015'!AQ50,"AAAAAH93/4Y=")</f>
        <v>#VALUE!</v>
      </c>
      <c r="EF9" t="e">
        <f>AND('2015'!AR50,"AAAAAH93/4c=")</f>
        <v>#VALUE!</v>
      </c>
      <c r="EG9" t="e">
        <f>AND('2015'!AS50,"AAAAAH93/4g=")</f>
        <v>#VALUE!</v>
      </c>
      <c r="EH9" t="e">
        <f>AND('2015'!AT50,"AAAAAH93/4k=")</f>
        <v>#VALUE!</v>
      </c>
      <c r="EI9" t="e">
        <f>AND('2015'!#REF!,"AAAAAH93/4o=")</f>
        <v>#REF!</v>
      </c>
      <c r="EJ9" t="e">
        <f>AND('2015'!AU50,"AAAAAH93/4s=")</f>
        <v>#VALUE!</v>
      </c>
      <c r="EK9" t="e">
        <f>AND('2015'!AV50,"AAAAAH93/4w=")</f>
        <v>#VALUE!</v>
      </c>
      <c r="EL9" t="e">
        <f>AND('2015'!AW50,"AAAAAH93/40=")</f>
        <v>#VALUE!</v>
      </c>
      <c r="EM9" t="e">
        <f>AND('2015'!AX50,"AAAAAH93/44=")</f>
        <v>#VALUE!</v>
      </c>
      <c r="EN9" t="e">
        <f>AND('2015'!AY50,"AAAAAH93/48=")</f>
        <v>#VALUE!</v>
      </c>
      <c r="EO9" t="e">
        <f>AND('2015'!AZ50,"AAAAAH93/5A=")</f>
        <v>#VALUE!</v>
      </c>
      <c r="EP9" t="e">
        <f>AND('2015'!BA50,"AAAAAH93/5E=")</f>
        <v>#VALUE!</v>
      </c>
      <c r="EQ9" t="e">
        <f>AND('2015'!BB50,"AAAAAH93/5I=")</f>
        <v>#VALUE!</v>
      </c>
      <c r="ER9" t="e">
        <f>AND('2015'!BC50,"AAAAAH93/5M=")</f>
        <v>#VALUE!</v>
      </c>
      <c r="ES9" t="e">
        <f>AND('2015'!BD50,"AAAAAH93/5Q=")</f>
        <v>#VALUE!</v>
      </c>
      <c r="ET9" t="e">
        <f>AND('2015'!BE50,"AAAAAH93/5U=")</f>
        <v>#VALUE!</v>
      </c>
      <c r="EU9" t="e">
        <f>AND('2015'!BF50,"AAAAAH93/5Y=")</f>
        <v>#VALUE!</v>
      </c>
      <c r="EV9" t="e">
        <f>AND('2015'!BG50,"AAAAAH93/5c=")</f>
        <v>#VALUE!</v>
      </c>
      <c r="EW9" t="e">
        <f>AND('2015'!BH50,"AAAAAH93/5g=")</f>
        <v>#VALUE!</v>
      </c>
      <c r="EX9" t="e">
        <f>AND('2015'!BI50,"AAAAAH93/5k=")</f>
        <v>#VALUE!</v>
      </c>
      <c r="EY9" t="e">
        <f>AND('2015'!#REF!,"AAAAAH93/5o=")</f>
        <v>#REF!</v>
      </c>
      <c r="EZ9" t="e">
        <f>AND('2015'!BJ50,"AAAAAH93/5s=")</f>
        <v>#VALUE!</v>
      </c>
      <c r="FA9" t="e">
        <f>AND('2015'!BK50,"AAAAAH93/5w=")</f>
        <v>#VALUE!</v>
      </c>
      <c r="FB9" t="e">
        <f>AND('2015'!BL50,"AAAAAH93/50=")</f>
        <v>#VALUE!</v>
      </c>
      <c r="FC9" t="e">
        <f>AND('2015'!BM50,"AAAAAH93/54=")</f>
        <v>#VALUE!</v>
      </c>
      <c r="FD9" t="e">
        <f>AND('2015'!BY50,"AAAAAH93/58=")</f>
        <v>#VALUE!</v>
      </c>
      <c r="FE9">
        <f>IF('2015'!51:51,"AAAAAH93/6A=",0)</f>
        <v>0</v>
      </c>
      <c r="FF9" t="e">
        <f>AND('2015'!A51,"AAAAAH93/6E=")</f>
        <v>#VALUE!</v>
      </c>
      <c r="FG9" t="e">
        <f>AND('2015'!B51,"AAAAAH93/6I=")</f>
        <v>#VALUE!</v>
      </c>
      <c r="FH9" t="e">
        <f>AND('2015'!C51,"AAAAAH93/6M=")</f>
        <v>#VALUE!</v>
      </c>
      <c r="FI9" t="e">
        <f>AND('2015'!D51,"AAAAAH93/6Q=")</f>
        <v>#VALUE!</v>
      </c>
      <c r="FJ9" t="e">
        <f>AND('2015'!E51,"AAAAAH93/6U=")</f>
        <v>#VALUE!</v>
      </c>
      <c r="FK9" t="e">
        <f>AND('2015'!F51,"AAAAAH93/6Y=")</f>
        <v>#VALUE!</v>
      </c>
      <c r="FL9" t="e">
        <f>AND('2015'!G51,"AAAAAH93/6c=")</f>
        <v>#VALUE!</v>
      </c>
      <c r="FM9" t="e">
        <f>AND('2015'!H51,"AAAAAH93/6g=")</f>
        <v>#VALUE!</v>
      </c>
      <c r="FN9" t="e">
        <f>AND('2015'!I51,"AAAAAH93/6k=")</f>
        <v>#VALUE!</v>
      </c>
      <c r="FO9" t="e">
        <f>AND('2015'!J51,"AAAAAH93/6o=")</f>
        <v>#VALUE!</v>
      </c>
      <c r="FP9" t="e">
        <f>AND('2015'!K51,"AAAAAH93/6s=")</f>
        <v>#VALUE!</v>
      </c>
      <c r="FQ9" t="e">
        <f>AND('2015'!L51,"AAAAAH93/6w=")</f>
        <v>#VALUE!</v>
      </c>
      <c r="FR9" t="e">
        <f>AND('2015'!M51,"AAAAAH93/60=")</f>
        <v>#VALUE!</v>
      </c>
      <c r="FS9" t="e">
        <f>AND('2015'!N51,"AAAAAH93/64=")</f>
        <v>#VALUE!</v>
      </c>
      <c r="FT9" t="e">
        <f>AND('2015'!O51,"AAAAAH93/68=")</f>
        <v>#VALUE!</v>
      </c>
      <c r="FU9" t="e">
        <f>AND('2015'!P51,"AAAAAH93/7A=")</f>
        <v>#VALUE!</v>
      </c>
      <c r="FV9" t="e">
        <f>AND('2015'!Q51,"AAAAAH93/7E=")</f>
        <v>#VALUE!</v>
      </c>
      <c r="FW9" t="e">
        <f>AND('2015'!R51,"AAAAAH93/7I=")</f>
        <v>#VALUE!</v>
      </c>
      <c r="FX9" t="e">
        <f>AND('2015'!S51,"AAAAAH93/7M=")</f>
        <v>#VALUE!</v>
      </c>
      <c r="FY9" t="e">
        <f>AND('2015'!T51,"AAAAAH93/7Q=")</f>
        <v>#VALUE!</v>
      </c>
      <c r="FZ9" t="e">
        <f>AND('2015'!U51,"AAAAAH93/7U=")</f>
        <v>#VALUE!</v>
      </c>
      <c r="GA9" t="e">
        <f>AND('2015'!V51,"AAAAAH93/7Y=")</f>
        <v>#VALUE!</v>
      </c>
      <c r="GB9" t="e">
        <f>AND('2015'!W51,"AAAAAH93/7c=")</f>
        <v>#VALUE!</v>
      </c>
      <c r="GC9" t="e">
        <f>AND('2015'!X51,"AAAAAH93/7g=")</f>
        <v>#VALUE!</v>
      </c>
      <c r="GD9" t="e">
        <f>AND('2015'!Y51,"AAAAAH93/7k=")</f>
        <v>#VALUE!</v>
      </c>
      <c r="GE9" t="e">
        <f>AND('2015'!Z51,"AAAAAH93/7o=")</f>
        <v>#VALUE!</v>
      </c>
      <c r="GF9" t="e">
        <f>AND('2015'!AA51,"AAAAAH93/7s=")</f>
        <v>#VALUE!</v>
      </c>
      <c r="GG9" t="e">
        <f>AND('2015'!AB51,"AAAAAH93/7w=")</f>
        <v>#VALUE!</v>
      </c>
      <c r="GH9" t="e">
        <f>AND('2015'!AC51,"AAAAAH93/70=")</f>
        <v>#VALUE!</v>
      </c>
      <c r="GI9" t="e">
        <f>AND('2015'!AD51,"AAAAAH93/74=")</f>
        <v>#VALUE!</v>
      </c>
      <c r="GJ9" t="e">
        <f>AND('2015'!AE51,"AAAAAH93/78=")</f>
        <v>#VALUE!</v>
      </c>
      <c r="GK9" t="e">
        <f>AND('2015'!AF51,"AAAAAH93/8A=")</f>
        <v>#VALUE!</v>
      </c>
      <c r="GL9" t="e">
        <f>AND('2015'!AG51,"AAAAAH93/8E=")</f>
        <v>#VALUE!</v>
      </c>
      <c r="GM9" t="e">
        <f>AND('2015'!AH51,"AAAAAH93/8I=")</f>
        <v>#VALUE!</v>
      </c>
      <c r="GN9" t="e">
        <f>AND('2015'!AI51,"AAAAAH93/8M=")</f>
        <v>#VALUE!</v>
      </c>
      <c r="GO9" t="e">
        <f>AND('2015'!AJ51,"AAAAAH93/8Q=")</f>
        <v>#VALUE!</v>
      </c>
      <c r="GP9" t="e">
        <f>AND('2015'!AK51,"AAAAAH93/8U=")</f>
        <v>#VALUE!</v>
      </c>
      <c r="GQ9" t="e">
        <f>AND('2015'!AL51,"AAAAAH93/8Y=")</f>
        <v>#VALUE!</v>
      </c>
      <c r="GR9" t="e">
        <f>AND('2015'!AM51,"AAAAAH93/8c=")</f>
        <v>#VALUE!</v>
      </c>
      <c r="GS9" t="e">
        <f>AND('2015'!AN51,"AAAAAH93/8g=")</f>
        <v>#VALUE!</v>
      </c>
      <c r="GT9" t="e">
        <f>AND('2015'!AO51,"AAAAAH93/8k=")</f>
        <v>#VALUE!</v>
      </c>
      <c r="GU9" t="e">
        <f>AND('2015'!AP51,"AAAAAH93/8o=")</f>
        <v>#VALUE!</v>
      </c>
      <c r="GV9" t="e">
        <f>AND('2015'!AQ51,"AAAAAH93/8s=")</f>
        <v>#VALUE!</v>
      </c>
      <c r="GW9" t="e">
        <f>AND('2015'!AR51,"AAAAAH93/8w=")</f>
        <v>#VALUE!</v>
      </c>
      <c r="GX9" t="e">
        <f>AND('2015'!AS51,"AAAAAH93/80=")</f>
        <v>#VALUE!</v>
      </c>
      <c r="GY9" t="e">
        <f>AND('2015'!AT51,"AAAAAH93/84=")</f>
        <v>#VALUE!</v>
      </c>
      <c r="GZ9" t="e">
        <f>AND('2015'!#REF!,"AAAAAH93/88=")</f>
        <v>#REF!</v>
      </c>
      <c r="HA9" t="e">
        <f>AND('2015'!AU51,"AAAAAH93/9A=")</f>
        <v>#VALUE!</v>
      </c>
      <c r="HB9" t="e">
        <f>AND('2015'!AV51,"AAAAAH93/9E=")</f>
        <v>#VALUE!</v>
      </c>
      <c r="HC9" t="e">
        <f>AND('2015'!AW51,"AAAAAH93/9I=")</f>
        <v>#VALUE!</v>
      </c>
      <c r="HD9" t="e">
        <f>AND('2015'!AX51,"AAAAAH93/9M=")</f>
        <v>#VALUE!</v>
      </c>
      <c r="HE9" t="e">
        <f>AND('2015'!AY51,"AAAAAH93/9Q=")</f>
        <v>#VALUE!</v>
      </c>
      <c r="HF9" t="e">
        <f>AND('2015'!AZ51,"AAAAAH93/9U=")</f>
        <v>#VALUE!</v>
      </c>
      <c r="HG9" t="e">
        <f>AND('2015'!BA51,"AAAAAH93/9Y=")</f>
        <v>#VALUE!</v>
      </c>
      <c r="HH9" t="e">
        <f>AND('2015'!BB51,"AAAAAH93/9c=")</f>
        <v>#VALUE!</v>
      </c>
      <c r="HI9" t="e">
        <f>AND('2015'!BC51,"AAAAAH93/9g=")</f>
        <v>#VALUE!</v>
      </c>
      <c r="HJ9" t="e">
        <f>AND('2015'!BD51,"AAAAAH93/9k=")</f>
        <v>#VALUE!</v>
      </c>
      <c r="HK9" t="e">
        <f>AND('2015'!BE51,"AAAAAH93/9o=")</f>
        <v>#VALUE!</v>
      </c>
      <c r="HL9" t="e">
        <f>AND('2015'!BF51,"AAAAAH93/9s=")</f>
        <v>#VALUE!</v>
      </c>
      <c r="HM9" t="e">
        <f>AND('2015'!BG51,"AAAAAH93/9w=")</f>
        <v>#VALUE!</v>
      </c>
      <c r="HN9" t="e">
        <f>AND('2015'!BH51,"AAAAAH93/90=")</f>
        <v>#VALUE!</v>
      </c>
      <c r="HO9" t="e">
        <f>AND('2015'!BI51,"AAAAAH93/94=")</f>
        <v>#VALUE!</v>
      </c>
      <c r="HP9" t="e">
        <f>AND('2015'!#REF!,"AAAAAH93/98=")</f>
        <v>#REF!</v>
      </c>
      <c r="HQ9" t="e">
        <f>AND('2015'!BJ51,"AAAAAH93/+A=")</f>
        <v>#VALUE!</v>
      </c>
      <c r="HR9" t="e">
        <f>AND('2015'!BK51,"AAAAAH93/+E=")</f>
        <v>#VALUE!</v>
      </c>
      <c r="HS9" t="e">
        <f>AND('2015'!BL51,"AAAAAH93/+I=")</f>
        <v>#VALUE!</v>
      </c>
      <c r="HT9" t="e">
        <f>AND('2015'!BM51,"AAAAAH93/+M=")</f>
        <v>#VALUE!</v>
      </c>
      <c r="HU9" t="e">
        <f>AND('2015'!BY51,"AAAAAH93/+Q=")</f>
        <v>#VALUE!</v>
      </c>
      <c r="HV9">
        <f>IF('2015'!52:52,"AAAAAH93/+U=",0)</f>
        <v>0</v>
      </c>
      <c r="HW9" t="e">
        <f>AND('2015'!A52,"AAAAAH93/+Y=")</f>
        <v>#VALUE!</v>
      </c>
      <c r="HX9" t="e">
        <f>AND('2015'!B52,"AAAAAH93/+c=")</f>
        <v>#VALUE!</v>
      </c>
      <c r="HY9" t="e">
        <f>AND('2015'!C52,"AAAAAH93/+g=")</f>
        <v>#VALUE!</v>
      </c>
      <c r="HZ9" t="e">
        <f>AND('2015'!D52,"AAAAAH93/+k=")</f>
        <v>#VALUE!</v>
      </c>
      <c r="IA9" t="e">
        <f>AND('2015'!E52,"AAAAAH93/+o=")</f>
        <v>#VALUE!</v>
      </c>
      <c r="IB9" t="e">
        <f>AND('2015'!F52,"AAAAAH93/+s=")</f>
        <v>#VALUE!</v>
      </c>
      <c r="IC9" t="e">
        <f>AND('2015'!G52,"AAAAAH93/+w=")</f>
        <v>#VALUE!</v>
      </c>
      <c r="ID9" t="e">
        <f>AND('2015'!H52,"AAAAAH93/+0=")</f>
        <v>#VALUE!</v>
      </c>
      <c r="IE9" t="e">
        <f>AND('2015'!I52,"AAAAAH93/+4=")</f>
        <v>#VALUE!</v>
      </c>
      <c r="IF9" t="e">
        <f>AND('2015'!J52,"AAAAAH93/+8=")</f>
        <v>#VALUE!</v>
      </c>
      <c r="IG9" t="e">
        <f>AND('2015'!K52,"AAAAAH93//A=")</f>
        <v>#VALUE!</v>
      </c>
      <c r="IH9" t="e">
        <f>AND('2015'!L52,"AAAAAH93//E=")</f>
        <v>#VALUE!</v>
      </c>
      <c r="II9" t="e">
        <f>AND('2015'!M52,"AAAAAH93//I=")</f>
        <v>#VALUE!</v>
      </c>
      <c r="IJ9" t="e">
        <f>AND('2015'!N52,"AAAAAH93//M=")</f>
        <v>#VALUE!</v>
      </c>
      <c r="IK9" t="e">
        <f>AND('2015'!O52,"AAAAAH93//Q=")</f>
        <v>#VALUE!</v>
      </c>
      <c r="IL9" t="e">
        <f>AND('2015'!P52,"AAAAAH93//U=")</f>
        <v>#VALUE!</v>
      </c>
      <c r="IM9" t="e">
        <f>AND('2015'!Q52,"AAAAAH93//Y=")</f>
        <v>#VALUE!</v>
      </c>
      <c r="IN9" t="e">
        <f>AND('2015'!R52,"AAAAAH93//c=")</f>
        <v>#VALUE!</v>
      </c>
      <c r="IO9" t="e">
        <f>AND('2015'!S52,"AAAAAH93//g=")</f>
        <v>#VALUE!</v>
      </c>
      <c r="IP9" t="e">
        <f>AND('2015'!T52,"AAAAAH93//k=")</f>
        <v>#VALUE!</v>
      </c>
      <c r="IQ9" t="e">
        <f>AND('2015'!U52,"AAAAAH93//o=")</f>
        <v>#VALUE!</v>
      </c>
      <c r="IR9" t="e">
        <f>AND('2015'!V52,"AAAAAH93//s=")</f>
        <v>#VALUE!</v>
      </c>
      <c r="IS9" t="e">
        <f>AND('2015'!W52,"AAAAAH93//w=")</f>
        <v>#VALUE!</v>
      </c>
      <c r="IT9" t="e">
        <f>AND('2015'!X52,"AAAAAH93//0=")</f>
        <v>#VALUE!</v>
      </c>
      <c r="IU9" t="e">
        <f>AND('2015'!Y52,"AAAAAH93//4=")</f>
        <v>#VALUE!</v>
      </c>
      <c r="IV9" t="e">
        <f>AND('2015'!Z52,"AAAAAH93//8=")</f>
        <v>#VALUE!</v>
      </c>
    </row>
    <row r="10" spans="1:256" x14ac:dyDescent="0.25">
      <c r="A10" t="e">
        <f>AND('2015'!AA52,"AAAAAHee/QA=")</f>
        <v>#VALUE!</v>
      </c>
      <c r="B10" t="e">
        <f>AND('2015'!AB52,"AAAAAHee/QE=")</f>
        <v>#VALUE!</v>
      </c>
      <c r="C10" t="e">
        <f>AND('2015'!AC52,"AAAAAHee/QI=")</f>
        <v>#VALUE!</v>
      </c>
      <c r="D10" t="e">
        <f>AND('2015'!AD52,"AAAAAHee/QM=")</f>
        <v>#VALUE!</v>
      </c>
      <c r="E10" t="e">
        <f>AND('2015'!AE52,"AAAAAHee/QQ=")</f>
        <v>#VALUE!</v>
      </c>
      <c r="F10" t="e">
        <f>AND('2015'!AF52,"AAAAAHee/QU=")</f>
        <v>#VALUE!</v>
      </c>
      <c r="G10" t="e">
        <f>AND('2015'!AG52,"AAAAAHee/QY=")</f>
        <v>#VALUE!</v>
      </c>
      <c r="H10" t="e">
        <f>AND('2015'!AH52,"AAAAAHee/Qc=")</f>
        <v>#VALUE!</v>
      </c>
      <c r="I10" t="e">
        <f>AND('2015'!AI52,"AAAAAHee/Qg=")</f>
        <v>#VALUE!</v>
      </c>
      <c r="J10" t="e">
        <f>AND('2015'!AJ52,"AAAAAHee/Qk=")</f>
        <v>#VALUE!</v>
      </c>
      <c r="K10" t="e">
        <f>AND('2015'!AK52,"AAAAAHee/Qo=")</f>
        <v>#VALUE!</v>
      </c>
      <c r="L10" t="e">
        <f>AND('2015'!AL52,"AAAAAHee/Qs=")</f>
        <v>#VALUE!</v>
      </c>
      <c r="M10" t="e">
        <f>AND('2015'!AM52,"AAAAAHee/Qw=")</f>
        <v>#VALUE!</v>
      </c>
      <c r="N10" t="e">
        <f>AND('2015'!AN52,"AAAAAHee/Q0=")</f>
        <v>#VALUE!</v>
      </c>
      <c r="O10" t="e">
        <f>AND('2015'!AO52,"AAAAAHee/Q4=")</f>
        <v>#VALUE!</v>
      </c>
      <c r="P10" t="e">
        <f>AND('2015'!AP52,"AAAAAHee/Q8=")</f>
        <v>#VALUE!</v>
      </c>
      <c r="Q10" t="e">
        <f>AND('2015'!AQ52,"AAAAAHee/RA=")</f>
        <v>#VALUE!</v>
      </c>
      <c r="R10" t="e">
        <f>AND('2015'!AR52,"AAAAAHee/RE=")</f>
        <v>#VALUE!</v>
      </c>
      <c r="S10" t="e">
        <f>AND('2015'!AS52,"AAAAAHee/RI=")</f>
        <v>#VALUE!</v>
      </c>
      <c r="T10" t="e">
        <f>AND('2015'!AT52,"AAAAAHee/RM=")</f>
        <v>#VALUE!</v>
      </c>
      <c r="U10" t="e">
        <f>AND('2015'!#REF!,"AAAAAHee/RQ=")</f>
        <v>#REF!</v>
      </c>
      <c r="V10" t="e">
        <f>AND('2015'!AU52,"AAAAAHee/RU=")</f>
        <v>#VALUE!</v>
      </c>
      <c r="W10" t="e">
        <f>AND('2015'!AV52,"AAAAAHee/RY=")</f>
        <v>#VALUE!</v>
      </c>
      <c r="X10" t="e">
        <f>AND('2015'!AW52,"AAAAAHee/Rc=")</f>
        <v>#VALUE!</v>
      </c>
      <c r="Y10" t="e">
        <f>AND('2015'!AX52,"AAAAAHee/Rg=")</f>
        <v>#VALUE!</v>
      </c>
      <c r="Z10" t="e">
        <f>AND('2015'!AY52,"AAAAAHee/Rk=")</f>
        <v>#VALUE!</v>
      </c>
      <c r="AA10" t="e">
        <f>AND('2015'!AZ52,"AAAAAHee/Ro=")</f>
        <v>#VALUE!</v>
      </c>
      <c r="AB10" t="e">
        <f>AND('2015'!BA52,"AAAAAHee/Rs=")</f>
        <v>#VALUE!</v>
      </c>
      <c r="AC10" t="e">
        <f>AND('2015'!BB52,"AAAAAHee/Rw=")</f>
        <v>#VALUE!</v>
      </c>
      <c r="AD10" t="e">
        <f>AND('2015'!BC52,"AAAAAHee/R0=")</f>
        <v>#VALUE!</v>
      </c>
      <c r="AE10" t="e">
        <f>AND('2015'!BD52,"AAAAAHee/R4=")</f>
        <v>#VALUE!</v>
      </c>
      <c r="AF10" t="e">
        <f>AND('2015'!BE52,"AAAAAHee/R8=")</f>
        <v>#VALUE!</v>
      </c>
      <c r="AG10" t="e">
        <f>AND('2015'!BF52,"AAAAAHee/SA=")</f>
        <v>#VALUE!</v>
      </c>
      <c r="AH10" t="e">
        <f>AND('2015'!BG52,"AAAAAHee/SE=")</f>
        <v>#VALUE!</v>
      </c>
      <c r="AI10" t="e">
        <f>AND('2015'!BH52,"AAAAAHee/SI=")</f>
        <v>#VALUE!</v>
      </c>
      <c r="AJ10" t="e">
        <f>AND('2015'!BI52,"AAAAAHee/SM=")</f>
        <v>#VALUE!</v>
      </c>
      <c r="AK10" t="e">
        <f>AND('2015'!#REF!,"AAAAAHee/SQ=")</f>
        <v>#REF!</v>
      </c>
      <c r="AL10" t="e">
        <f>AND('2015'!BJ52,"AAAAAHee/SU=")</f>
        <v>#VALUE!</v>
      </c>
      <c r="AM10" t="e">
        <f>AND('2015'!BK52,"AAAAAHee/SY=")</f>
        <v>#VALUE!</v>
      </c>
      <c r="AN10" t="e">
        <f>AND('2015'!BL52,"AAAAAHee/Sc=")</f>
        <v>#VALUE!</v>
      </c>
      <c r="AO10" t="e">
        <f>AND('2015'!BM52,"AAAAAHee/Sg=")</f>
        <v>#VALUE!</v>
      </c>
      <c r="AP10" t="e">
        <f>AND('2015'!BY52,"AAAAAHee/Sk=")</f>
        <v>#VALUE!</v>
      </c>
      <c r="AQ10">
        <f>IF('2015'!53:53,"AAAAAHee/So=",0)</f>
        <v>0</v>
      </c>
      <c r="AR10" t="e">
        <f>AND('2015'!A53,"AAAAAHee/Ss=")</f>
        <v>#VALUE!</v>
      </c>
      <c r="AS10" t="e">
        <f>AND('2015'!B53,"AAAAAHee/Sw=")</f>
        <v>#VALUE!</v>
      </c>
      <c r="AT10" t="e">
        <f>AND('2015'!C53,"AAAAAHee/S0=")</f>
        <v>#VALUE!</v>
      </c>
      <c r="AU10" t="e">
        <f>AND('2015'!D53,"AAAAAHee/S4=")</f>
        <v>#VALUE!</v>
      </c>
      <c r="AV10" t="e">
        <f>AND('2015'!E53,"AAAAAHee/S8=")</f>
        <v>#VALUE!</v>
      </c>
      <c r="AW10" t="e">
        <f>AND('2015'!F53,"AAAAAHee/TA=")</f>
        <v>#VALUE!</v>
      </c>
      <c r="AX10" t="e">
        <f>AND('2015'!G53,"AAAAAHee/TE=")</f>
        <v>#VALUE!</v>
      </c>
      <c r="AY10" t="e">
        <f>AND('2015'!H53,"AAAAAHee/TI=")</f>
        <v>#VALUE!</v>
      </c>
      <c r="AZ10" t="e">
        <f>AND('2015'!I53,"AAAAAHee/TM=")</f>
        <v>#VALUE!</v>
      </c>
      <c r="BA10" t="e">
        <f>AND('2015'!J53,"AAAAAHee/TQ=")</f>
        <v>#VALUE!</v>
      </c>
      <c r="BB10" t="e">
        <f>AND('2015'!K53,"AAAAAHee/TU=")</f>
        <v>#VALUE!</v>
      </c>
      <c r="BC10" t="e">
        <f>AND('2015'!L53,"AAAAAHee/TY=")</f>
        <v>#VALUE!</v>
      </c>
      <c r="BD10" t="e">
        <f>AND('2015'!M53,"AAAAAHee/Tc=")</f>
        <v>#VALUE!</v>
      </c>
      <c r="BE10" t="e">
        <f>AND('2015'!N53,"AAAAAHee/Tg=")</f>
        <v>#VALUE!</v>
      </c>
      <c r="BF10" t="e">
        <f>AND('2015'!O53,"AAAAAHee/Tk=")</f>
        <v>#VALUE!</v>
      </c>
      <c r="BG10" t="e">
        <f>AND('2015'!P53,"AAAAAHee/To=")</f>
        <v>#VALUE!</v>
      </c>
      <c r="BH10" t="e">
        <f>AND('2015'!Q53,"AAAAAHee/Ts=")</f>
        <v>#VALUE!</v>
      </c>
      <c r="BI10" t="e">
        <f>AND('2015'!R53,"AAAAAHee/Tw=")</f>
        <v>#VALUE!</v>
      </c>
      <c r="BJ10" t="e">
        <f>AND('2015'!S53,"AAAAAHee/T0=")</f>
        <v>#VALUE!</v>
      </c>
      <c r="BK10" t="e">
        <f>AND('2015'!T53,"AAAAAHee/T4=")</f>
        <v>#VALUE!</v>
      </c>
      <c r="BL10" t="e">
        <f>AND('2015'!U53,"AAAAAHee/T8=")</f>
        <v>#VALUE!</v>
      </c>
      <c r="BM10" t="e">
        <f>AND('2015'!V53,"AAAAAHee/UA=")</f>
        <v>#VALUE!</v>
      </c>
      <c r="BN10" t="e">
        <f>AND('2015'!W53,"AAAAAHee/UE=")</f>
        <v>#VALUE!</v>
      </c>
      <c r="BO10" t="e">
        <f>AND('2015'!X53,"AAAAAHee/UI=")</f>
        <v>#VALUE!</v>
      </c>
      <c r="BP10" t="e">
        <f>AND('2015'!Y53,"AAAAAHee/UM=")</f>
        <v>#VALUE!</v>
      </c>
      <c r="BQ10" t="e">
        <f>AND('2015'!Z53,"AAAAAHee/UQ=")</f>
        <v>#VALUE!</v>
      </c>
      <c r="BR10" t="e">
        <f>AND('2015'!AA53,"AAAAAHee/UU=")</f>
        <v>#VALUE!</v>
      </c>
      <c r="BS10" t="e">
        <f>AND('2015'!AB53,"AAAAAHee/UY=")</f>
        <v>#VALUE!</v>
      </c>
      <c r="BT10" t="e">
        <f>AND('2015'!AC53,"AAAAAHee/Uc=")</f>
        <v>#VALUE!</v>
      </c>
      <c r="BU10" t="e">
        <f>AND('2015'!AD53,"AAAAAHee/Ug=")</f>
        <v>#VALUE!</v>
      </c>
      <c r="BV10" t="e">
        <f>AND('2015'!AE53,"AAAAAHee/Uk=")</f>
        <v>#VALUE!</v>
      </c>
      <c r="BW10" t="e">
        <f>AND('2015'!AF53,"AAAAAHee/Uo=")</f>
        <v>#VALUE!</v>
      </c>
      <c r="BX10" t="e">
        <f>AND('2015'!AG53,"AAAAAHee/Us=")</f>
        <v>#VALUE!</v>
      </c>
      <c r="BY10" t="e">
        <f>AND('2015'!AH53,"AAAAAHee/Uw=")</f>
        <v>#VALUE!</v>
      </c>
      <c r="BZ10" t="e">
        <f>AND('2015'!AI53,"AAAAAHee/U0=")</f>
        <v>#VALUE!</v>
      </c>
      <c r="CA10" t="e">
        <f>AND('2015'!AJ53,"AAAAAHee/U4=")</f>
        <v>#VALUE!</v>
      </c>
      <c r="CB10" t="e">
        <f>AND('2015'!AK53,"AAAAAHee/U8=")</f>
        <v>#VALUE!</v>
      </c>
      <c r="CC10" t="e">
        <f>AND('2015'!AL53,"AAAAAHee/VA=")</f>
        <v>#VALUE!</v>
      </c>
      <c r="CD10" t="e">
        <f>AND('2015'!AM53,"AAAAAHee/VE=")</f>
        <v>#VALUE!</v>
      </c>
      <c r="CE10" t="e">
        <f>AND('2015'!AN53,"AAAAAHee/VI=")</f>
        <v>#VALUE!</v>
      </c>
      <c r="CF10" t="e">
        <f>AND('2015'!AO53,"AAAAAHee/VM=")</f>
        <v>#VALUE!</v>
      </c>
      <c r="CG10" t="e">
        <f>AND('2015'!AP53,"AAAAAHee/VQ=")</f>
        <v>#VALUE!</v>
      </c>
      <c r="CH10" t="e">
        <f>AND('2015'!AQ53,"AAAAAHee/VU=")</f>
        <v>#VALUE!</v>
      </c>
      <c r="CI10" t="e">
        <f>AND('2015'!AR53,"AAAAAHee/VY=")</f>
        <v>#VALUE!</v>
      </c>
      <c r="CJ10" t="e">
        <f>AND('2015'!AS53,"AAAAAHee/Vc=")</f>
        <v>#VALUE!</v>
      </c>
      <c r="CK10" t="e">
        <f>AND('2015'!AT53,"AAAAAHee/Vg=")</f>
        <v>#VALUE!</v>
      </c>
      <c r="CL10" t="e">
        <f>AND('2015'!#REF!,"AAAAAHee/Vk=")</f>
        <v>#REF!</v>
      </c>
      <c r="CM10" t="e">
        <f>AND('2015'!AU53,"AAAAAHee/Vo=")</f>
        <v>#VALUE!</v>
      </c>
      <c r="CN10" t="e">
        <f>AND('2015'!AV53,"AAAAAHee/Vs=")</f>
        <v>#VALUE!</v>
      </c>
      <c r="CO10" t="e">
        <f>AND('2015'!AW53,"AAAAAHee/Vw=")</f>
        <v>#VALUE!</v>
      </c>
      <c r="CP10" t="e">
        <f>AND('2015'!AX53,"AAAAAHee/V0=")</f>
        <v>#VALUE!</v>
      </c>
      <c r="CQ10" t="e">
        <f>AND('2015'!AY53,"AAAAAHee/V4=")</f>
        <v>#VALUE!</v>
      </c>
      <c r="CR10" t="e">
        <f>AND('2015'!AZ53,"AAAAAHee/V8=")</f>
        <v>#VALUE!</v>
      </c>
      <c r="CS10" t="e">
        <f>AND('2015'!BA53,"AAAAAHee/WA=")</f>
        <v>#VALUE!</v>
      </c>
      <c r="CT10" t="e">
        <f>AND('2015'!BB53,"AAAAAHee/WE=")</f>
        <v>#VALUE!</v>
      </c>
      <c r="CU10" t="e">
        <f>AND('2015'!BC53,"AAAAAHee/WI=")</f>
        <v>#VALUE!</v>
      </c>
      <c r="CV10" t="e">
        <f>AND('2015'!BD53,"AAAAAHee/WM=")</f>
        <v>#VALUE!</v>
      </c>
      <c r="CW10" t="e">
        <f>AND('2015'!BE53,"AAAAAHee/WQ=")</f>
        <v>#VALUE!</v>
      </c>
      <c r="CX10" t="e">
        <f>AND('2015'!BF53,"AAAAAHee/WU=")</f>
        <v>#VALUE!</v>
      </c>
      <c r="CY10" t="e">
        <f>AND('2015'!BG53,"AAAAAHee/WY=")</f>
        <v>#VALUE!</v>
      </c>
      <c r="CZ10" t="e">
        <f>AND('2015'!BH53,"AAAAAHee/Wc=")</f>
        <v>#VALUE!</v>
      </c>
      <c r="DA10" t="e">
        <f>AND('2015'!BI53,"AAAAAHee/Wg=")</f>
        <v>#VALUE!</v>
      </c>
      <c r="DB10" t="e">
        <f>AND('2015'!#REF!,"AAAAAHee/Wk=")</f>
        <v>#REF!</v>
      </c>
      <c r="DC10" t="e">
        <f>AND('2015'!BJ53,"AAAAAHee/Wo=")</f>
        <v>#VALUE!</v>
      </c>
      <c r="DD10" t="e">
        <f>AND('2015'!BK53,"AAAAAHee/Ws=")</f>
        <v>#VALUE!</v>
      </c>
      <c r="DE10" t="e">
        <f>AND('2015'!BL53,"AAAAAHee/Ww=")</f>
        <v>#VALUE!</v>
      </c>
      <c r="DF10" t="e">
        <f>AND('2015'!BM53,"AAAAAHee/W0=")</f>
        <v>#VALUE!</v>
      </c>
      <c r="DG10" t="e">
        <f>AND('2015'!BY53,"AAAAAHee/W4=")</f>
        <v>#VALUE!</v>
      </c>
      <c r="DH10">
        <f>IF('2015'!54:54,"AAAAAHee/W8=",0)</f>
        <v>0</v>
      </c>
      <c r="DI10" t="e">
        <f>AND('2015'!A54,"AAAAAHee/XA=")</f>
        <v>#VALUE!</v>
      </c>
      <c r="DJ10" t="e">
        <f>AND('2015'!B54,"AAAAAHee/XE=")</f>
        <v>#VALUE!</v>
      </c>
      <c r="DK10" t="e">
        <f>AND('2015'!C54,"AAAAAHee/XI=")</f>
        <v>#VALUE!</v>
      </c>
      <c r="DL10" t="e">
        <f>AND('2015'!D54,"AAAAAHee/XM=")</f>
        <v>#VALUE!</v>
      </c>
      <c r="DM10" t="e">
        <f>AND('2015'!E54,"AAAAAHee/XQ=")</f>
        <v>#VALUE!</v>
      </c>
      <c r="DN10" t="e">
        <f>AND('2015'!F54,"AAAAAHee/XU=")</f>
        <v>#VALUE!</v>
      </c>
      <c r="DO10" t="e">
        <f>AND('2015'!G54,"AAAAAHee/XY=")</f>
        <v>#VALUE!</v>
      </c>
      <c r="DP10" t="e">
        <f>AND('2015'!H54,"AAAAAHee/Xc=")</f>
        <v>#VALUE!</v>
      </c>
      <c r="DQ10" t="e">
        <f>AND('2015'!I54,"AAAAAHee/Xg=")</f>
        <v>#VALUE!</v>
      </c>
      <c r="DR10" t="e">
        <f>AND('2015'!J54,"AAAAAHee/Xk=")</f>
        <v>#VALUE!</v>
      </c>
      <c r="DS10" t="e">
        <f>AND('2015'!K54,"AAAAAHee/Xo=")</f>
        <v>#VALUE!</v>
      </c>
      <c r="DT10" t="e">
        <f>AND('2015'!L54,"AAAAAHee/Xs=")</f>
        <v>#VALUE!</v>
      </c>
      <c r="DU10" t="e">
        <f>AND('2015'!M54,"AAAAAHee/Xw=")</f>
        <v>#VALUE!</v>
      </c>
      <c r="DV10" t="e">
        <f>AND('2015'!N54,"AAAAAHee/X0=")</f>
        <v>#VALUE!</v>
      </c>
      <c r="DW10" t="e">
        <f>AND('2015'!O54,"AAAAAHee/X4=")</f>
        <v>#VALUE!</v>
      </c>
      <c r="DX10" t="e">
        <f>AND('2015'!P54,"AAAAAHee/X8=")</f>
        <v>#VALUE!</v>
      </c>
      <c r="DY10" t="e">
        <f>AND('2015'!Q54,"AAAAAHee/YA=")</f>
        <v>#VALUE!</v>
      </c>
      <c r="DZ10" t="e">
        <f>AND('2015'!R54,"AAAAAHee/YE=")</f>
        <v>#VALUE!</v>
      </c>
      <c r="EA10" t="e">
        <f>AND('2015'!S54,"AAAAAHee/YI=")</f>
        <v>#VALUE!</v>
      </c>
      <c r="EB10" t="e">
        <f>AND('2015'!T54,"AAAAAHee/YM=")</f>
        <v>#VALUE!</v>
      </c>
      <c r="EC10" t="e">
        <f>AND('2015'!U54,"AAAAAHee/YQ=")</f>
        <v>#VALUE!</v>
      </c>
      <c r="ED10" t="e">
        <f>AND('2015'!V54,"AAAAAHee/YU=")</f>
        <v>#VALUE!</v>
      </c>
      <c r="EE10" t="e">
        <f>AND('2015'!W54,"AAAAAHee/YY=")</f>
        <v>#VALUE!</v>
      </c>
      <c r="EF10" t="e">
        <f>AND('2015'!X54,"AAAAAHee/Yc=")</f>
        <v>#VALUE!</v>
      </c>
      <c r="EG10" t="e">
        <f>AND('2015'!Y54,"AAAAAHee/Yg=")</f>
        <v>#VALUE!</v>
      </c>
      <c r="EH10" t="e">
        <f>AND('2015'!Z54,"AAAAAHee/Yk=")</f>
        <v>#VALUE!</v>
      </c>
      <c r="EI10" t="e">
        <f>AND('2015'!AA54,"AAAAAHee/Yo=")</f>
        <v>#VALUE!</v>
      </c>
      <c r="EJ10" t="e">
        <f>AND('2015'!AB54,"AAAAAHee/Ys=")</f>
        <v>#VALUE!</v>
      </c>
      <c r="EK10" t="e">
        <f>AND('2015'!AC54,"AAAAAHee/Yw=")</f>
        <v>#VALUE!</v>
      </c>
      <c r="EL10" t="e">
        <f>AND('2015'!AD54,"AAAAAHee/Y0=")</f>
        <v>#VALUE!</v>
      </c>
      <c r="EM10" t="e">
        <f>AND('2015'!AE54,"AAAAAHee/Y4=")</f>
        <v>#VALUE!</v>
      </c>
      <c r="EN10" t="e">
        <f>AND('2015'!AF54,"AAAAAHee/Y8=")</f>
        <v>#VALUE!</v>
      </c>
      <c r="EO10" t="e">
        <f>AND('2015'!AG54,"AAAAAHee/ZA=")</f>
        <v>#VALUE!</v>
      </c>
      <c r="EP10" t="e">
        <f>AND('2015'!AH54,"AAAAAHee/ZE=")</f>
        <v>#VALUE!</v>
      </c>
      <c r="EQ10" t="e">
        <f>AND('2015'!AI54,"AAAAAHee/ZI=")</f>
        <v>#VALUE!</v>
      </c>
      <c r="ER10" t="e">
        <f>AND('2015'!AJ54,"AAAAAHee/ZM=")</f>
        <v>#VALUE!</v>
      </c>
      <c r="ES10" t="e">
        <f>AND('2015'!AK54,"AAAAAHee/ZQ=")</f>
        <v>#VALUE!</v>
      </c>
      <c r="ET10" t="e">
        <f>AND('2015'!AL54,"AAAAAHee/ZU=")</f>
        <v>#VALUE!</v>
      </c>
      <c r="EU10" t="e">
        <f>AND('2015'!AM54,"AAAAAHee/ZY=")</f>
        <v>#VALUE!</v>
      </c>
      <c r="EV10" t="e">
        <f>AND('2015'!AN54,"AAAAAHee/Zc=")</f>
        <v>#VALUE!</v>
      </c>
      <c r="EW10" t="e">
        <f>AND('2015'!AO54,"AAAAAHee/Zg=")</f>
        <v>#VALUE!</v>
      </c>
      <c r="EX10" t="e">
        <f>AND('2015'!AP54,"AAAAAHee/Zk=")</f>
        <v>#VALUE!</v>
      </c>
      <c r="EY10" t="e">
        <f>AND('2015'!AQ54,"AAAAAHee/Zo=")</f>
        <v>#VALUE!</v>
      </c>
      <c r="EZ10" t="e">
        <f>AND('2015'!AR54,"AAAAAHee/Zs=")</f>
        <v>#VALUE!</v>
      </c>
      <c r="FA10" t="e">
        <f>AND('2015'!AS54,"AAAAAHee/Zw=")</f>
        <v>#VALUE!</v>
      </c>
      <c r="FB10" t="e">
        <f>AND('2015'!AT54,"AAAAAHee/Z0=")</f>
        <v>#VALUE!</v>
      </c>
      <c r="FC10" t="e">
        <f>AND('2015'!#REF!,"AAAAAHee/Z4=")</f>
        <v>#REF!</v>
      </c>
      <c r="FD10" t="e">
        <f>AND('2015'!AU54,"AAAAAHee/Z8=")</f>
        <v>#VALUE!</v>
      </c>
      <c r="FE10" t="e">
        <f>AND('2015'!AV54,"AAAAAHee/aA=")</f>
        <v>#VALUE!</v>
      </c>
      <c r="FF10" t="e">
        <f>AND('2015'!AW54,"AAAAAHee/aE=")</f>
        <v>#VALUE!</v>
      </c>
      <c r="FG10" t="e">
        <f>AND('2015'!AX54,"AAAAAHee/aI=")</f>
        <v>#VALUE!</v>
      </c>
      <c r="FH10" t="e">
        <f>AND('2015'!AY54,"AAAAAHee/aM=")</f>
        <v>#VALUE!</v>
      </c>
      <c r="FI10" t="e">
        <f>AND('2015'!AZ54,"AAAAAHee/aQ=")</f>
        <v>#VALUE!</v>
      </c>
      <c r="FJ10" t="e">
        <f>AND('2015'!BA54,"AAAAAHee/aU=")</f>
        <v>#VALUE!</v>
      </c>
      <c r="FK10" t="e">
        <f>AND('2015'!BB54,"AAAAAHee/aY=")</f>
        <v>#VALUE!</v>
      </c>
      <c r="FL10" t="e">
        <f>AND('2015'!BC54,"AAAAAHee/ac=")</f>
        <v>#VALUE!</v>
      </c>
      <c r="FM10" t="e">
        <f>AND('2015'!BD54,"AAAAAHee/ag=")</f>
        <v>#VALUE!</v>
      </c>
      <c r="FN10" t="e">
        <f>AND('2015'!BE54,"AAAAAHee/ak=")</f>
        <v>#VALUE!</v>
      </c>
      <c r="FO10" t="e">
        <f>AND('2015'!BF54,"AAAAAHee/ao=")</f>
        <v>#VALUE!</v>
      </c>
      <c r="FP10" t="e">
        <f>AND('2015'!BG54,"AAAAAHee/as=")</f>
        <v>#VALUE!</v>
      </c>
      <c r="FQ10" t="e">
        <f>AND('2015'!BH54,"AAAAAHee/aw=")</f>
        <v>#VALUE!</v>
      </c>
      <c r="FR10" t="e">
        <f>AND('2015'!BI54,"AAAAAHee/a0=")</f>
        <v>#VALUE!</v>
      </c>
      <c r="FS10" t="e">
        <f>AND('2015'!#REF!,"AAAAAHee/a4=")</f>
        <v>#REF!</v>
      </c>
      <c r="FT10" t="e">
        <f>AND('2015'!BJ54,"AAAAAHee/a8=")</f>
        <v>#VALUE!</v>
      </c>
      <c r="FU10" t="e">
        <f>AND('2015'!BK54,"AAAAAHee/bA=")</f>
        <v>#VALUE!</v>
      </c>
      <c r="FV10" t="e">
        <f>AND('2015'!BL54,"AAAAAHee/bE=")</f>
        <v>#VALUE!</v>
      </c>
      <c r="FW10" t="e">
        <f>AND('2015'!BM54,"AAAAAHee/bI=")</f>
        <v>#VALUE!</v>
      </c>
      <c r="FX10" t="e">
        <f>AND('2015'!BY54,"AAAAAHee/bM=")</f>
        <v>#VALUE!</v>
      </c>
      <c r="FY10">
        <f>IF('2015'!55:55,"AAAAAHee/bQ=",0)</f>
        <v>0</v>
      </c>
      <c r="FZ10" t="e">
        <f>AND('2015'!A55,"AAAAAHee/bU=")</f>
        <v>#VALUE!</v>
      </c>
      <c r="GA10" t="e">
        <f>AND('2015'!B55,"AAAAAHee/bY=")</f>
        <v>#VALUE!</v>
      </c>
      <c r="GB10" t="e">
        <f>AND('2015'!C55,"AAAAAHee/bc=")</f>
        <v>#VALUE!</v>
      </c>
      <c r="GC10" t="e">
        <f>AND('2015'!D55,"AAAAAHee/bg=")</f>
        <v>#VALUE!</v>
      </c>
      <c r="GD10" t="e">
        <f>AND('2015'!E55,"AAAAAHee/bk=")</f>
        <v>#VALUE!</v>
      </c>
      <c r="GE10" t="e">
        <f>AND('2015'!F55,"AAAAAHee/bo=")</f>
        <v>#VALUE!</v>
      </c>
      <c r="GF10" t="e">
        <f>AND('2015'!G55,"AAAAAHee/bs=")</f>
        <v>#VALUE!</v>
      </c>
      <c r="GG10" t="e">
        <f>AND('2015'!H55,"AAAAAHee/bw=")</f>
        <v>#VALUE!</v>
      </c>
      <c r="GH10" t="e">
        <f>AND('2015'!I55,"AAAAAHee/b0=")</f>
        <v>#VALUE!</v>
      </c>
      <c r="GI10" t="e">
        <f>AND('2015'!J55,"AAAAAHee/b4=")</f>
        <v>#VALUE!</v>
      </c>
      <c r="GJ10" t="e">
        <f>AND('2015'!K55,"AAAAAHee/b8=")</f>
        <v>#VALUE!</v>
      </c>
      <c r="GK10" t="e">
        <f>AND('2015'!L55,"AAAAAHee/cA=")</f>
        <v>#VALUE!</v>
      </c>
      <c r="GL10" t="e">
        <f>AND('2015'!M55,"AAAAAHee/cE=")</f>
        <v>#VALUE!</v>
      </c>
      <c r="GM10" t="e">
        <f>AND('2015'!N55,"AAAAAHee/cI=")</f>
        <v>#VALUE!</v>
      </c>
      <c r="GN10" t="e">
        <f>AND('2015'!O55,"AAAAAHee/cM=")</f>
        <v>#VALUE!</v>
      </c>
      <c r="GO10" t="e">
        <f>AND('2015'!P55,"AAAAAHee/cQ=")</f>
        <v>#VALUE!</v>
      </c>
      <c r="GP10" t="e">
        <f>AND('2015'!Q55,"AAAAAHee/cU=")</f>
        <v>#VALUE!</v>
      </c>
      <c r="GQ10" t="e">
        <f>AND('2015'!R55,"AAAAAHee/cY=")</f>
        <v>#VALUE!</v>
      </c>
      <c r="GR10" t="e">
        <f>AND('2015'!S55,"AAAAAHee/cc=")</f>
        <v>#VALUE!</v>
      </c>
      <c r="GS10" t="e">
        <f>AND('2015'!T55,"AAAAAHee/cg=")</f>
        <v>#VALUE!</v>
      </c>
      <c r="GT10" t="e">
        <f>AND('2015'!U55,"AAAAAHee/ck=")</f>
        <v>#VALUE!</v>
      </c>
      <c r="GU10" t="e">
        <f>AND('2015'!V55,"AAAAAHee/co=")</f>
        <v>#VALUE!</v>
      </c>
      <c r="GV10" t="e">
        <f>AND('2015'!W55,"AAAAAHee/cs=")</f>
        <v>#VALUE!</v>
      </c>
      <c r="GW10" t="e">
        <f>AND('2015'!X55,"AAAAAHee/cw=")</f>
        <v>#VALUE!</v>
      </c>
      <c r="GX10" t="e">
        <f>AND('2015'!Y55,"AAAAAHee/c0=")</f>
        <v>#VALUE!</v>
      </c>
      <c r="GY10" t="e">
        <f>AND('2015'!Z55,"AAAAAHee/c4=")</f>
        <v>#VALUE!</v>
      </c>
      <c r="GZ10" t="e">
        <f>AND('2015'!AA55,"AAAAAHee/c8=")</f>
        <v>#VALUE!</v>
      </c>
      <c r="HA10" t="e">
        <f>AND('2015'!AB55,"AAAAAHee/dA=")</f>
        <v>#VALUE!</v>
      </c>
      <c r="HB10" t="e">
        <f>AND('2015'!AC55,"AAAAAHee/dE=")</f>
        <v>#VALUE!</v>
      </c>
      <c r="HC10" t="e">
        <f>AND('2015'!AD55,"AAAAAHee/dI=")</f>
        <v>#VALUE!</v>
      </c>
      <c r="HD10" t="e">
        <f>AND('2015'!AE55,"AAAAAHee/dM=")</f>
        <v>#VALUE!</v>
      </c>
      <c r="HE10" t="e">
        <f>AND('2015'!AF55,"AAAAAHee/dQ=")</f>
        <v>#VALUE!</v>
      </c>
      <c r="HF10" t="e">
        <f>AND('2015'!AG55,"AAAAAHee/dU=")</f>
        <v>#VALUE!</v>
      </c>
      <c r="HG10" t="e">
        <f>AND('2015'!AH55,"AAAAAHee/dY=")</f>
        <v>#VALUE!</v>
      </c>
      <c r="HH10" t="e">
        <f>AND('2015'!AI55,"AAAAAHee/dc=")</f>
        <v>#VALUE!</v>
      </c>
      <c r="HI10" t="e">
        <f>AND('2015'!AJ55,"AAAAAHee/dg=")</f>
        <v>#VALUE!</v>
      </c>
      <c r="HJ10" t="e">
        <f>AND('2015'!AK55,"AAAAAHee/dk=")</f>
        <v>#VALUE!</v>
      </c>
      <c r="HK10" t="e">
        <f>AND('2015'!AL55,"AAAAAHee/do=")</f>
        <v>#VALUE!</v>
      </c>
      <c r="HL10" t="e">
        <f>AND('2015'!AM55,"AAAAAHee/ds=")</f>
        <v>#VALUE!</v>
      </c>
      <c r="HM10" t="e">
        <f>AND('2015'!AN55,"AAAAAHee/dw=")</f>
        <v>#VALUE!</v>
      </c>
      <c r="HN10" t="e">
        <f>AND('2015'!AO55,"AAAAAHee/d0=")</f>
        <v>#VALUE!</v>
      </c>
      <c r="HO10" t="e">
        <f>AND('2015'!AP55,"AAAAAHee/d4=")</f>
        <v>#VALUE!</v>
      </c>
      <c r="HP10" t="e">
        <f>AND('2015'!AQ55,"AAAAAHee/d8=")</f>
        <v>#VALUE!</v>
      </c>
      <c r="HQ10" t="e">
        <f>AND('2015'!AR55,"AAAAAHee/eA=")</f>
        <v>#VALUE!</v>
      </c>
      <c r="HR10" t="e">
        <f>AND('2015'!AS55,"AAAAAHee/eE=")</f>
        <v>#VALUE!</v>
      </c>
      <c r="HS10" t="e">
        <f>AND('2015'!AT55,"AAAAAHee/eI=")</f>
        <v>#VALUE!</v>
      </c>
      <c r="HT10" t="e">
        <f>AND('2015'!#REF!,"AAAAAHee/eM=")</f>
        <v>#REF!</v>
      </c>
      <c r="HU10" t="e">
        <f>AND('2015'!AU55,"AAAAAHee/eQ=")</f>
        <v>#VALUE!</v>
      </c>
      <c r="HV10" t="e">
        <f>AND('2015'!AV55,"AAAAAHee/eU=")</f>
        <v>#VALUE!</v>
      </c>
      <c r="HW10" t="e">
        <f>AND('2015'!AW55,"AAAAAHee/eY=")</f>
        <v>#VALUE!</v>
      </c>
      <c r="HX10" t="e">
        <f>AND('2015'!AX55,"AAAAAHee/ec=")</f>
        <v>#VALUE!</v>
      </c>
      <c r="HY10" t="e">
        <f>AND('2015'!AY55,"AAAAAHee/eg=")</f>
        <v>#VALUE!</v>
      </c>
      <c r="HZ10" t="e">
        <f>AND('2015'!AZ55,"AAAAAHee/ek=")</f>
        <v>#VALUE!</v>
      </c>
      <c r="IA10" t="e">
        <f>AND('2015'!BA55,"AAAAAHee/eo=")</f>
        <v>#VALUE!</v>
      </c>
      <c r="IB10" t="e">
        <f>AND('2015'!BB55,"AAAAAHee/es=")</f>
        <v>#VALUE!</v>
      </c>
      <c r="IC10" t="e">
        <f>AND('2015'!BC55,"AAAAAHee/ew=")</f>
        <v>#VALUE!</v>
      </c>
      <c r="ID10" t="e">
        <f>AND('2015'!BD55,"AAAAAHee/e0=")</f>
        <v>#VALUE!</v>
      </c>
      <c r="IE10" t="e">
        <f>AND('2015'!BE55,"AAAAAHee/e4=")</f>
        <v>#VALUE!</v>
      </c>
      <c r="IF10" t="e">
        <f>AND('2015'!BF55,"AAAAAHee/e8=")</f>
        <v>#VALUE!</v>
      </c>
      <c r="IG10" t="e">
        <f>AND('2015'!BG55,"AAAAAHee/fA=")</f>
        <v>#VALUE!</v>
      </c>
      <c r="IH10" t="e">
        <f>AND('2015'!BH55,"AAAAAHee/fE=")</f>
        <v>#VALUE!</v>
      </c>
      <c r="II10" t="e">
        <f>AND('2015'!BI55,"AAAAAHee/fI=")</f>
        <v>#VALUE!</v>
      </c>
      <c r="IJ10" t="e">
        <f>AND('2015'!#REF!,"AAAAAHee/fM=")</f>
        <v>#REF!</v>
      </c>
      <c r="IK10" t="e">
        <f>AND('2015'!BJ55,"AAAAAHee/fQ=")</f>
        <v>#VALUE!</v>
      </c>
      <c r="IL10" t="e">
        <f>AND('2015'!BK55,"AAAAAHee/fU=")</f>
        <v>#VALUE!</v>
      </c>
      <c r="IM10" t="e">
        <f>AND('2015'!BL55,"AAAAAHee/fY=")</f>
        <v>#VALUE!</v>
      </c>
      <c r="IN10" t="e">
        <f>AND('2015'!BM55,"AAAAAHee/fc=")</f>
        <v>#VALUE!</v>
      </c>
      <c r="IO10" t="e">
        <f>AND('2015'!BY55,"AAAAAHee/fg=")</f>
        <v>#VALUE!</v>
      </c>
      <c r="IP10">
        <f>IF('2015'!56:56,"AAAAAHee/fk=",0)</f>
        <v>0</v>
      </c>
      <c r="IQ10" t="e">
        <f>AND('2015'!A56,"AAAAAHee/fo=")</f>
        <v>#VALUE!</v>
      </c>
      <c r="IR10" t="e">
        <f>AND('2015'!B56,"AAAAAHee/fs=")</f>
        <v>#VALUE!</v>
      </c>
      <c r="IS10" t="e">
        <f>AND('2015'!C56,"AAAAAHee/fw=")</f>
        <v>#VALUE!</v>
      </c>
      <c r="IT10" t="e">
        <f>AND('2015'!D56,"AAAAAHee/f0=")</f>
        <v>#VALUE!</v>
      </c>
      <c r="IU10" t="e">
        <f>AND('2015'!E56,"AAAAAHee/f4=")</f>
        <v>#VALUE!</v>
      </c>
      <c r="IV10" t="e">
        <f>AND('2015'!F56,"AAAAAHee/f8=")</f>
        <v>#VALUE!</v>
      </c>
    </row>
    <row r="11" spans="1:256" x14ac:dyDescent="0.25">
      <c r="A11" t="e">
        <f>AND('2015'!G56,"AAAAAH+f/wA=")</f>
        <v>#VALUE!</v>
      </c>
      <c r="B11" t="e">
        <f>AND('2015'!H56,"AAAAAH+f/wE=")</f>
        <v>#VALUE!</v>
      </c>
      <c r="C11" t="e">
        <f>AND('2015'!I56,"AAAAAH+f/wI=")</f>
        <v>#VALUE!</v>
      </c>
      <c r="D11" t="e">
        <f>AND('2015'!J56,"AAAAAH+f/wM=")</f>
        <v>#VALUE!</v>
      </c>
      <c r="E11" t="e">
        <f>AND('2015'!K56,"AAAAAH+f/wQ=")</f>
        <v>#VALUE!</v>
      </c>
      <c r="F11" t="e">
        <f>AND('2015'!L56,"AAAAAH+f/wU=")</f>
        <v>#VALUE!</v>
      </c>
      <c r="G11" t="e">
        <f>AND('2015'!M56,"AAAAAH+f/wY=")</f>
        <v>#VALUE!</v>
      </c>
      <c r="H11" t="e">
        <f>AND('2015'!N56,"AAAAAH+f/wc=")</f>
        <v>#VALUE!</v>
      </c>
      <c r="I11" t="e">
        <f>AND('2015'!O56,"AAAAAH+f/wg=")</f>
        <v>#VALUE!</v>
      </c>
      <c r="J11" t="e">
        <f>AND('2015'!P56,"AAAAAH+f/wk=")</f>
        <v>#VALUE!</v>
      </c>
      <c r="K11" t="e">
        <f>AND('2015'!Q56,"AAAAAH+f/wo=")</f>
        <v>#VALUE!</v>
      </c>
      <c r="L11" t="e">
        <f>AND('2015'!R56,"AAAAAH+f/ws=")</f>
        <v>#VALUE!</v>
      </c>
      <c r="M11" t="e">
        <f>AND('2015'!S56,"AAAAAH+f/ww=")</f>
        <v>#VALUE!</v>
      </c>
      <c r="N11" t="e">
        <f>AND('2015'!T56,"AAAAAH+f/w0=")</f>
        <v>#VALUE!</v>
      </c>
      <c r="O11" t="e">
        <f>AND('2015'!U56,"AAAAAH+f/w4=")</f>
        <v>#VALUE!</v>
      </c>
      <c r="P11" t="e">
        <f>AND('2015'!V56,"AAAAAH+f/w8=")</f>
        <v>#VALUE!</v>
      </c>
      <c r="Q11" t="e">
        <f>AND('2015'!W56,"AAAAAH+f/xA=")</f>
        <v>#VALUE!</v>
      </c>
      <c r="R11" t="e">
        <f>AND('2015'!X56,"AAAAAH+f/xE=")</f>
        <v>#VALUE!</v>
      </c>
      <c r="S11" t="e">
        <f>AND('2015'!Y56,"AAAAAH+f/xI=")</f>
        <v>#VALUE!</v>
      </c>
      <c r="T11" t="e">
        <f>AND('2015'!Z56,"AAAAAH+f/xM=")</f>
        <v>#VALUE!</v>
      </c>
      <c r="U11" t="e">
        <f>AND('2015'!AA56,"AAAAAH+f/xQ=")</f>
        <v>#VALUE!</v>
      </c>
      <c r="V11" t="e">
        <f>AND('2015'!AB56,"AAAAAH+f/xU=")</f>
        <v>#VALUE!</v>
      </c>
      <c r="W11" t="e">
        <f>AND('2015'!AC56,"AAAAAH+f/xY=")</f>
        <v>#VALUE!</v>
      </c>
      <c r="X11" t="e">
        <f>AND('2015'!AD56,"AAAAAH+f/xc=")</f>
        <v>#VALUE!</v>
      </c>
      <c r="Y11" t="e">
        <f>AND('2015'!AE56,"AAAAAH+f/xg=")</f>
        <v>#VALUE!</v>
      </c>
      <c r="Z11" t="e">
        <f>AND('2015'!AF56,"AAAAAH+f/xk=")</f>
        <v>#VALUE!</v>
      </c>
      <c r="AA11" t="e">
        <f>AND('2015'!AG56,"AAAAAH+f/xo=")</f>
        <v>#VALUE!</v>
      </c>
      <c r="AB11" t="e">
        <f>AND('2015'!AH56,"AAAAAH+f/xs=")</f>
        <v>#VALUE!</v>
      </c>
      <c r="AC11" t="e">
        <f>AND('2015'!AI56,"AAAAAH+f/xw=")</f>
        <v>#VALUE!</v>
      </c>
      <c r="AD11" t="e">
        <f>AND('2015'!AJ56,"AAAAAH+f/x0=")</f>
        <v>#VALUE!</v>
      </c>
      <c r="AE11" t="e">
        <f>AND('2015'!AK56,"AAAAAH+f/x4=")</f>
        <v>#VALUE!</v>
      </c>
      <c r="AF11" t="e">
        <f>AND('2015'!AL56,"AAAAAH+f/x8=")</f>
        <v>#VALUE!</v>
      </c>
      <c r="AG11" t="e">
        <f>AND('2015'!AM56,"AAAAAH+f/yA=")</f>
        <v>#VALUE!</v>
      </c>
      <c r="AH11" t="e">
        <f>AND('2015'!AN56,"AAAAAH+f/yE=")</f>
        <v>#VALUE!</v>
      </c>
      <c r="AI11" t="e">
        <f>AND('2015'!AO56,"AAAAAH+f/yI=")</f>
        <v>#VALUE!</v>
      </c>
      <c r="AJ11" t="e">
        <f>AND('2015'!AP56,"AAAAAH+f/yM=")</f>
        <v>#VALUE!</v>
      </c>
      <c r="AK11" t="e">
        <f>AND('2015'!AQ56,"AAAAAH+f/yQ=")</f>
        <v>#VALUE!</v>
      </c>
      <c r="AL11" t="e">
        <f>AND('2015'!AR56,"AAAAAH+f/yU=")</f>
        <v>#VALUE!</v>
      </c>
      <c r="AM11" t="e">
        <f>AND('2015'!AS56,"AAAAAH+f/yY=")</f>
        <v>#VALUE!</v>
      </c>
      <c r="AN11" t="e">
        <f>AND('2015'!AT56,"AAAAAH+f/yc=")</f>
        <v>#VALUE!</v>
      </c>
      <c r="AO11" t="e">
        <f>AND('2015'!#REF!,"AAAAAH+f/yg=")</f>
        <v>#REF!</v>
      </c>
      <c r="AP11" t="e">
        <f>AND('2015'!AU56,"AAAAAH+f/yk=")</f>
        <v>#VALUE!</v>
      </c>
      <c r="AQ11" t="e">
        <f>AND('2015'!AV56,"AAAAAH+f/yo=")</f>
        <v>#VALUE!</v>
      </c>
      <c r="AR11" t="e">
        <f>AND('2015'!AW56,"AAAAAH+f/ys=")</f>
        <v>#VALUE!</v>
      </c>
      <c r="AS11" t="e">
        <f>AND('2015'!AX56,"AAAAAH+f/yw=")</f>
        <v>#VALUE!</v>
      </c>
      <c r="AT11" t="e">
        <f>AND('2015'!AY56,"AAAAAH+f/y0=")</f>
        <v>#VALUE!</v>
      </c>
      <c r="AU11" t="e">
        <f>AND('2015'!AZ56,"AAAAAH+f/y4=")</f>
        <v>#VALUE!</v>
      </c>
      <c r="AV11" t="e">
        <f>AND('2015'!BA56,"AAAAAH+f/y8=")</f>
        <v>#VALUE!</v>
      </c>
      <c r="AW11" t="e">
        <f>AND('2015'!BB56,"AAAAAH+f/zA=")</f>
        <v>#VALUE!</v>
      </c>
      <c r="AX11" t="e">
        <f>AND('2015'!BC56,"AAAAAH+f/zE=")</f>
        <v>#VALUE!</v>
      </c>
      <c r="AY11" t="e">
        <f>AND('2015'!BD56,"AAAAAH+f/zI=")</f>
        <v>#VALUE!</v>
      </c>
      <c r="AZ11" t="e">
        <f>AND('2015'!BE56,"AAAAAH+f/zM=")</f>
        <v>#VALUE!</v>
      </c>
      <c r="BA11" t="e">
        <f>AND('2015'!BF56,"AAAAAH+f/zQ=")</f>
        <v>#VALUE!</v>
      </c>
      <c r="BB11" t="e">
        <f>AND('2015'!BG56,"AAAAAH+f/zU=")</f>
        <v>#VALUE!</v>
      </c>
      <c r="BC11" t="e">
        <f>AND('2015'!BH56,"AAAAAH+f/zY=")</f>
        <v>#VALUE!</v>
      </c>
      <c r="BD11" t="e">
        <f>AND('2015'!BI56,"AAAAAH+f/zc=")</f>
        <v>#VALUE!</v>
      </c>
      <c r="BE11" t="e">
        <f>AND('2015'!#REF!,"AAAAAH+f/zg=")</f>
        <v>#REF!</v>
      </c>
      <c r="BF11" t="e">
        <f>AND('2015'!BJ56,"AAAAAH+f/zk=")</f>
        <v>#VALUE!</v>
      </c>
      <c r="BG11" t="e">
        <f>AND('2015'!BK56,"AAAAAH+f/zo=")</f>
        <v>#VALUE!</v>
      </c>
      <c r="BH11" t="e">
        <f>AND('2015'!BL56,"AAAAAH+f/zs=")</f>
        <v>#VALUE!</v>
      </c>
      <c r="BI11" t="e">
        <f>AND('2015'!BM56,"AAAAAH+f/zw=")</f>
        <v>#VALUE!</v>
      </c>
      <c r="BJ11" t="e">
        <f>AND('2015'!BY56,"AAAAAH+f/z0=")</f>
        <v>#VALUE!</v>
      </c>
      <c r="BK11">
        <f>IF('2015'!57:57,"AAAAAH+f/z4=",0)</f>
        <v>0</v>
      </c>
      <c r="BL11" t="e">
        <f>AND('2015'!A57,"AAAAAH+f/z8=")</f>
        <v>#VALUE!</v>
      </c>
      <c r="BM11" t="e">
        <f>AND('2015'!B57,"AAAAAH+f/0A=")</f>
        <v>#VALUE!</v>
      </c>
      <c r="BN11" t="e">
        <f>AND('2015'!C57,"AAAAAH+f/0E=")</f>
        <v>#VALUE!</v>
      </c>
      <c r="BO11" t="e">
        <f>AND('2015'!D57,"AAAAAH+f/0I=")</f>
        <v>#VALUE!</v>
      </c>
      <c r="BP11" t="e">
        <f>AND('2015'!E57,"AAAAAH+f/0M=")</f>
        <v>#VALUE!</v>
      </c>
      <c r="BQ11" t="e">
        <f>AND('2015'!F57,"AAAAAH+f/0Q=")</f>
        <v>#VALUE!</v>
      </c>
      <c r="BR11" t="e">
        <f>AND('2015'!G57,"AAAAAH+f/0U=")</f>
        <v>#VALUE!</v>
      </c>
      <c r="BS11" t="e">
        <f>AND('2015'!H57,"AAAAAH+f/0Y=")</f>
        <v>#VALUE!</v>
      </c>
      <c r="BT11" t="e">
        <f>AND('2015'!I57,"AAAAAH+f/0c=")</f>
        <v>#VALUE!</v>
      </c>
      <c r="BU11" t="e">
        <f>AND('2015'!J57,"AAAAAH+f/0g=")</f>
        <v>#VALUE!</v>
      </c>
      <c r="BV11" t="e">
        <f>AND('2015'!K57,"AAAAAH+f/0k=")</f>
        <v>#VALUE!</v>
      </c>
      <c r="BW11" t="e">
        <f>AND('2015'!L57,"AAAAAH+f/0o=")</f>
        <v>#VALUE!</v>
      </c>
      <c r="BX11" t="e">
        <f>AND('2015'!M57,"AAAAAH+f/0s=")</f>
        <v>#VALUE!</v>
      </c>
      <c r="BY11" t="e">
        <f>AND('2015'!N57,"AAAAAH+f/0w=")</f>
        <v>#VALUE!</v>
      </c>
      <c r="BZ11" t="e">
        <f>AND('2015'!O57,"AAAAAH+f/00=")</f>
        <v>#VALUE!</v>
      </c>
      <c r="CA11" t="e">
        <f>AND('2015'!P57,"AAAAAH+f/04=")</f>
        <v>#VALUE!</v>
      </c>
      <c r="CB11" t="e">
        <f>AND('2015'!Q57,"AAAAAH+f/08=")</f>
        <v>#VALUE!</v>
      </c>
      <c r="CC11" t="e">
        <f>AND('2015'!R57,"AAAAAH+f/1A=")</f>
        <v>#VALUE!</v>
      </c>
      <c r="CD11" t="e">
        <f>AND('2015'!S57,"AAAAAH+f/1E=")</f>
        <v>#VALUE!</v>
      </c>
      <c r="CE11" t="e">
        <f>AND('2015'!T57,"AAAAAH+f/1I=")</f>
        <v>#VALUE!</v>
      </c>
      <c r="CF11" t="e">
        <f>AND('2015'!U57,"AAAAAH+f/1M=")</f>
        <v>#VALUE!</v>
      </c>
      <c r="CG11" t="e">
        <f>AND('2015'!V57,"AAAAAH+f/1Q=")</f>
        <v>#VALUE!</v>
      </c>
      <c r="CH11" t="e">
        <f>AND('2015'!W57,"AAAAAH+f/1U=")</f>
        <v>#VALUE!</v>
      </c>
      <c r="CI11" t="e">
        <f>AND('2015'!X57,"AAAAAH+f/1Y=")</f>
        <v>#VALUE!</v>
      </c>
      <c r="CJ11" t="e">
        <f>AND('2015'!Y57,"AAAAAH+f/1c=")</f>
        <v>#VALUE!</v>
      </c>
      <c r="CK11" t="e">
        <f>AND('2015'!Z57,"AAAAAH+f/1g=")</f>
        <v>#VALUE!</v>
      </c>
      <c r="CL11" t="e">
        <f>AND('2015'!AA57,"AAAAAH+f/1k=")</f>
        <v>#VALUE!</v>
      </c>
      <c r="CM11" t="e">
        <f>AND('2015'!AB57,"AAAAAH+f/1o=")</f>
        <v>#VALUE!</v>
      </c>
      <c r="CN11" t="e">
        <f>AND('2015'!AC57,"AAAAAH+f/1s=")</f>
        <v>#VALUE!</v>
      </c>
      <c r="CO11" t="e">
        <f>AND('2015'!AD57,"AAAAAH+f/1w=")</f>
        <v>#VALUE!</v>
      </c>
      <c r="CP11" t="e">
        <f>AND('2015'!AE57,"AAAAAH+f/10=")</f>
        <v>#VALUE!</v>
      </c>
      <c r="CQ11" t="e">
        <f>AND('2015'!AF57,"AAAAAH+f/14=")</f>
        <v>#VALUE!</v>
      </c>
      <c r="CR11" t="e">
        <f>AND('2015'!AG57,"AAAAAH+f/18=")</f>
        <v>#VALUE!</v>
      </c>
      <c r="CS11" t="e">
        <f>AND('2015'!AH57,"AAAAAH+f/2A=")</f>
        <v>#VALUE!</v>
      </c>
      <c r="CT11" t="e">
        <f>AND('2015'!AI57,"AAAAAH+f/2E=")</f>
        <v>#VALUE!</v>
      </c>
      <c r="CU11" t="e">
        <f>AND('2015'!AJ57,"AAAAAH+f/2I=")</f>
        <v>#VALUE!</v>
      </c>
      <c r="CV11" t="e">
        <f>AND('2015'!AK57,"AAAAAH+f/2M=")</f>
        <v>#VALUE!</v>
      </c>
      <c r="CW11" t="e">
        <f>AND('2015'!AL57,"AAAAAH+f/2Q=")</f>
        <v>#VALUE!</v>
      </c>
      <c r="CX11" t="e">
        <f>AND('2015'!AM57,"AAAAAH+f/2U=")</f>
        <v>#VALUE!</v>
      </c>
      <c r="CY11" t="e">
        <f>AND('2015'!AN57,"AAAAAH+f/2Y=")</f>
        <v>#VALUE!</v>
      </c>
      <c r="CZ11" t="e">
        <f>AND('2015'!AO57,"AAAAAH+f/2c=")</f>
        <v>#VALUE!</v>
      </c>
      <c r="DA11" t="e">
        <f>AND('2015'!AP57,"AAAAAH+f/2g=")</f>
        <v>#VALUE!</v>
      </c>
      <c r="DB11" t="e">
        <f>AND('2015'!AQ57,"AAAAAH+f/2k=")</f>
        <v>#VALUE!</v>
      </c>
      <c r="DC11" t="e">
        <f>AND('2015'!AR57,"AAAAAH+f/2o=")</f>
        <v>#VALUE!</v>
      </c>
      <c r="DD11" t="e">
        <f>AND('2015'!AS57,"AAAAAH+f/2s=")</f>
        <v>#VALUE!</v>
      </c>
      <c r="DE11" t="e">
        <f>AND('2015'!AT57,"AAAAAH+f/2w=")</f>
        <v>#VALUE!</v>
      </c>
      <c r="DF11" t="e">
        <f>AND('2015'!#REF!,"AAAAAH+f/20=")</f>
        <v>#REF!</v>
      </c>
      <c r="DG11" t="e">
        <f>AND('2015'!AU57,"AAAAAH+f/24=")</f>
        <v>#VALUE!</v>
      </c>
      <c r="DH11" t="e">
        <f>AND('2015'!AV57,"AAAAAH+f/28=")</f>
        <v>#VALUE!</v>
      </c>
      <c r="DI11" t="e">
        <f>AND('2015'!AW57,"AAAAAH+f/3A=")</f>
        <v>#VALUE!</v>
      </c>
      <c r="DJ11" t="e">
        <f>AND('2015'!AX57,"AAAAAH+f/3E=")</f>
        <v>#VALUE!</v>
      </c>
      <c r="DK11" t="e">
        <f>AND('2015'!AY57,"AAAAAH+f/3I=")</f>
        <v>#VALUE!</v>
      </c>
      <c r="DL11" t="e">
        <f>AND('2015'!AZ57,"AAAAAH+f/3M=")</f>
        <v>#VALUE!</v>
      </c>
      <c r="DM11" t="e">
        <f>AND('2015'!BA57,"AAAAAH+f/3Q=")</f>
        <v>#VALUE!</v>
      </c>
      <c r="DN11" t="e">
        <f>AND('2015'!BB57,"AAAAAH+f/3U=")</f>
        <v>#VALUE!</v>
      </c>
      <c r="DO11" t="e">
        <f>AND('2015'!BC57,"AAAAAH+f/3Y=")</f>
        <v>#VALUE!</v>
      </c>
      <c r="DP11" t="e">
        <f>AND('2015'!BD57,"AAAAAH+f/3c=")</f>
        <v>#VALUE!</v>
      </c>
      <c r="DQ11" t="e">
        <f>AND('2015'!BE57,"AAAAAH+f/3g=")</f>
        <v>#VALUE!</v>
      </c>
      <c r="DR11" t="e">
        <f>AND('2015'!BF57,"AAAAAH+f/3k=")</f>
        <v>#VALUE!</v>
      </c>
      <c r="DS11" t="e">
        <f>AND('2015'!BG57,"AAAAAH+f/3o=")</f>
        <v>#VALUE!</v>
      </c>
      <c r="DT11" t="e">
        <f>AND('2015'!BH57,"AAAAAH+f/3s=")</f>
        <v>#VALUE!</v>
      </c>
      <c r="DU11" t="e">
        <f>AND('2015'!BI57,"AAAAAH+f/3w=")</f>
        <v>#VALUE!</v>
      </c>
      <c r="DV11" t="e">
        <f>AND('2015'!#REF!,"AAAAAH+f/30=")</f>
        <v>#REF!</v>
      </c>
      <c r="DW11" t="e">
        <f>AND('2015'!BJ57,"AAAAAH+f/34=")</f>
        <v>#VALUE!</v>
      </c>
      <c r="DX11" t="e">
        <f>AND('2015'!BK57,"AAAAAH+f/38=")</f>
        <v>#VALUE!</v>
      </c>
      <c r="DY11" t="e">
        <f>AND('2015'!BL57,"AAAAAH+f/4A=")</f>
        <v>#VALUE!</v>
      </c>
      <c r="DZ11" t="e">
        <f>AND('2015'!BM57,"AAAAAH+f/4E=")</f>
        <v>#VALUE!</v>
      </c>
      <c r="EA11" t="e">
        <f>AND('2015'!BY57,"AAAAAH+f/4I=")</f>
        <v>#VALUE!</v>
      </c>
      <c r="EB11">
        <f>IF('2015'!58:58,"AAAAAH+f/4M=",0)</f>
        <v>0</v>
      </c>
      <c r="EC11" t="e">
        <f>AND('2015'!A58,"AAAAAH+f/4Q=")</f>
        <v>#VALUE!</v>
      </c>
      <c r="ED11" t="e">
        <f>AND('2015'!B58,"AAAAAH+f/4U=")</f>
        <v>#VALUE!</v>
      </c>
      <c r="EE11" t="e">
        <f>AND('2015'!C58,"AAAAAH+f/4Y=")</f>
        <v>#VALUE!</v>
      </c>
      <c r="EF11" t="e">
        <f>AND('2015'!D58,"AAAAAH+f/4c=")</f>
        <v>#VALUE!</v>
      </c>
      <c r="EG11" t="e">
        <f>AND('2015'!E58,"AAAAAH+f/4g=")</f>
        <v>#VALUE!</v>
      </c>
      <c r="EH11" t="e">
        <f>AND('2015'!F58,"AAAAAH+f/4k=")</f>
        <v>#VALUE!</v>
      </c>
      <c r="EI11" t="e">
        <f>AND('2015'!G58,"AAAAAH+f/4o=")</f>
        <v>#VALUE!</v>
      </c>
      <c r="EJ11" t="e">
        <f>AND('2015'!H58,"AAAAAH+f/4s=")</f>
        <v>#VALUE!</v>
      </c>
      <c r="EK11" t="e">
        <f>AND('2015'!I58,"AAAAAH+f/4w=")</f>
        <v>#VALUE!</v>
      </c>
      <c r="EL11" t="e">
        <f>AND('2015'!J58,"AAAAAH+f/40=")</f>
        <v>#VALUE!</v>
      </c>
      <c r="EM11" t="e">
        <f>AND('2015'!K58,"AAAAAH+f/44=")</f>
        <v>#VALUE!</v>
      </c>
      <c r="EN11" t="e">
        <f>AND('2015'!L58,"AAAAAH+f/48=")</f>
        <v>#VALUE!</v>
      </c>
      <c r="EO11" t="e">
        <f>AND('2015'!M58,"AAAAAH+f/5A=")</f>
        <v>#VALUE!</v>
      </c>
      <c r="EP11" t="e">
        <f>AND('2015'!N58,"AAAAAH+f/5E=")</f>
        <v>#VALUE!</v>
      </c>
      <c r="EQ11" t="e">
        <f>AND('2015'!O58,"AAAAAH+f/5I=")</f>
        <v>#VALUE!</v>
      </c>
      <c r="ER11" t="e">
        <f>AND('2015'!P58,"AAAAAH+f/5M=")</f>
        <v>#VALUE!</v>
      </c>
      <c r="ES11" t="e">
        <f>AND('2015'!Q58,"AAAAAH+f/5Q=")</f>
        <v>#VALUE!</v>
      </c>
      <c r="ET11" t="e">
        <f>AND('2015'!R58,"AAAAAH+f/5U=")</f>
        <v>#VALUE!</v>
      </c>
      <c r="EU11" t="e">
        <f>AND('2015'!S58,"AAAAAH+f/5Y=")</f>
        <v>#VALUE!</v>
      </c>
      <c r="EV11" t="e">
        <f>AND('2015'!T58,"AAAAAH+f/5c=")</f>
        <v>#VALUE!</v>
      </c>
      <c r="EW11" t="e">
        <f>AND('2015'!U58,"AAAAAH+f/5g=")</f>
        <v>#VALUE!</v>
      </c>
      <c r="EX11" t="e">
        <f>AND('2015'!V58,"AAAAAH+f/5k=")</f>
        <v>#VALUE!</v>
      </c>
      <c r="EY11" t="e">
        <f>AND('2015'!W58,"AAAAAH+f/5o=")</f>
        <v>#VALUE!</v>
      </c>
      <c r="EZ11" t="e">
        <f>AND('2015'!X58,"AAAAAH+f/5s=")</f>
        <v>#VALUE!</v>
      </c>
      <c r="FA11" t="e">
        <f>AND('2015'!Y58,"AAAAAH+f/5w=")</f>
        <v>#VALUE!</v>
      </c>
      <c r="FB11" t="e">
        <f>AND('2015'!Z58,"AAAAAH+f/50=")</f>
        <v>#VALUE!</v>
      </c>
      <c r="FC11" t="e">
        <f>AND('2015'!AA58,"AAAAAH+f/54=")</f>
        <v>#VALUE!</v>
      </c>
      <c r="FD11" t="e">
        <f>AND('2015'!AB58,"AAAAAH+f/58=")</f>
        <v>#VALUE!</v>
      </c>
      <c r="FE11" t="e">
        <f>AND('2015'!AC58,"AAAAAH+f/6A=")</f>
        <v>#VALUE!</v>
      </c>
      <c r="FF11" t="e">
        <f>AND('2015'!AD58,"AAAAAH+f/6E=")</f>
        <v>#VALUE!</v>
      </c>
      <c r="FG11" t="e">
        <f>AND('2015'!AE58,"AAAAAH+f/6I=")</f>
        <v>#VALUE!</v>
      </c>
      <c r="FH11" t="e">
        <f>AND('2015'!AF58,"AAAAAH+f/6M=")</f>
        <v>#VALUE!</v>
      </c>
      <c r="FI11" t="e">
        <f>AND('2015'!AG58,"AAAAAH+f/6Q=")</f>
        <v>#VALUE!</v>
      </c>
      <c r="FJ11" t="e">
        <f>AND('2015'!AH58,"AAAAAH+f/6U=")</f>
        <v>#VALUE!</v>
      </c>
      <c r="FK11" t="e">
        <f>AND('2015'!AI58,"AAAAAH+f/6Y=")</f>
        <v>#VALUE!</v>
      </c>
      <c r="FL11" t="e">
        <f>AND('2015'!AJ58,"AAAAAH+f/6c=")</f>
        <v>#VALUE!</v>
      </c>
      <c r="FM11" t="e">
        <f>AND('2015'!AK58,"AAAAAH+f/6g=")</f>
        <v>#VALUE!</v>
      </c>
      <c r="FN11" t="e">
        <f>AND('2015'!AL58,"AAAAAH+f/6k=")</f>
        <v>#VALUE!</v>
      </c>
      <c r="FO11" t="e">
        <f>AND('2015'!AM58,"AAAAAH+f/6o=")</f>
        <v>#VALUE!</v>
      </c>
      <c r="FP11" t="e">
        <f>AND('2015'!AN58,"AAAAAH+f/6s=")</f>
        <v>#VALUE!</v>
      </c>
      <c r="FQ11" t="e">
        <f>AND('2015'!AO58,"AAAAAH+f/6w=")</f>
        <v>#VALUE!</v>
      </c>
      <c r="FR11" t="e">
        <f>AND('2015'!AP58,"AAAAAH+f/60=")</f>
        <v>#VALUE!</v>
      </c>
      <c r="FS11" t="e">
        <f>AND('2015'!AQ58,"AAAAAH+f/64=")</f>
        <v>#VALUE!</v>
      </c>
      <c r="FT11" t="e">
        <f>AND('2015'!AR58,"AAAAAH+f/68=")</f>
        <v>#VALUE!</v>
      </c>
      <c r="FU11" t="e">
        <f>AND('2015'!AS58,"AAAAAH+f/7A=")</f>
        <v>#VALUE!</v>
      </c>
      <c r="FV11" t="e">
        <f>AND('2015'!AT58,"AAAAAH+f/7E=")</f>
        <v>#VALUE!</v>
      </c>
      <c r="FW11" t="e">
        <f>AND('2015'!#REF!,"AAAAAH+f/7I=")</f>
        <v>#REF!</v>
      </c>
      <c r="FX11" t="e">
        <f>AND('2015'!AU58,"AAAAAH+f/7M=")</f>
        <v>#VALUE!</v>
      </c>
      <c r="FY11" t="e">
        <f>AND('2015'!AV58,"AAAAAH+f/7Q=")</f>
        <v>#VALUE!</v>
      </c>
      <c r="FZ11" t="e">
        <f>AND('2015'!AW58,"AAAAAH+f/7U=")</f>
        <v>#VALUE!</v>
      </c>
      <c r="GA11" t="e">
        <f>AND('2015'!AX58,"AAAAAH+f/7Y=")</f>
        <v>#VALUE!</v>
      </c>
      <c r="GB11" t="e">
        <f>AND('2015'!AY58,"AAAAAH+f/7c=")</f>
        <v>#VALUE!</v>
      </c>
      <c r="GC11" t="e">
        <f>AND('2015'!AZ58,"AAAAAH+f/7g=")</f>
        <v>#VALUE!</v>
      </c>
      <c r="GD11" t="e">
        <f>AND('2015'!BA58,"AAAAAH+f/7k=")</f>
        <v>#VALUE!</v>
      </c>
      <c r="GE11" t="e">
        <f>AND('2015'!BB58,"AAAAAH+f/7o=")</f>
        <v>#VALUE!</v>
      </c>
      <c r="GF11" t="e">
        <f>AND('2015'!BC58,"AAAAAH+f/7s=")</f>
        <v>#VALUE!</v>
      </c>
      <c r="GG11" t="e">
        <f>AND('2015'!BD58,"AAAAAH+f/7w=")</f>
        <v>#VALUE!</v>
      </c>
      <c r="GH11" t="e">
        <f>AND('2015'!BE58,"AAAAAH+f/70=")</f>
        <v>#VALUE!</v>
      </c>
      <c r="GI11" t="e">
        <f>AND('2015'!BF58,"AAAAAH+f/74=")</f>
        <v>#VALUE!</v>
      </c>
      <c r="GJ11" t="e">
        <f>AND('2015'!BG58,"AAAAAH+f/78=")</f>
        <v>#VALUE!</v>
      </c>
      <c r="GK11" t="e">
        <f>AND('2015'!BH58,"AAAAAH+f/8A=")</f>
        <v>#VALUE!</v>
      </c>
      <c r="GL11" t="e">
        <f>AND('2015'!BI58,"AAAAAH+f/8E=")</f>
        <v>#VALUE!</v>
      </c>
      <c r="GM11" t="e">
        <f>AND('2015'!#REF!,"AAAAAH+f/8I=")</f>
        <v>#REF!</v>
      </c>
      <c r="GN11" t="e">
        <f>AND('2015'!BJ58,"AAAAAH+f/8M=")</f>
        <v>#VALUE!</v>
      </c>
      <c r="GO11" t="e">
        <f>AND('2015'!BK58,"AAAAAH+f/8Q=")</f>
        <v>#VALUE!</v>
      </c>
      <c r="GP11" t="e">
        <f>AND('2015'!BL58,"AAAAAH+f/8U=")</f>
        <v>#VALUE!</v>
      </c>
      <c r="GQ11" t="e">
        <f>AND('2015'!BM58,"AAAAAH+f/8Y=")</f>
        <v>#VALUE!</v>
      </c>
      <c r="GR11" t="e">
        <f>AND('2015'!BY58,"AAAAAH+f/8c=")</f>
        <v>#VALUE!</v>
      </c>
      <c r="GS11">
        <f>IF('2015'!59:59,"AAAAAH+f/8g=",0)</f>
        <v>0</v>
      </c>
      <c r="GT11" t="e">
        <f>AND('2015'!A59,"AAAAAH+f/8k=")</f>
        <v>#VALUE!</v>
      </c>
      <c r="GU11" t="e">
        <f>AND('2015'!B59,"AAAAAH+f/8o=")</f>
        <v>#VALUE!</v>
      </c>
      <c r="GV11" t="e">
        <f>AND('2015'!C59,"AAAAAH+f/8s=")</f>
        <v>#VALUE!</v>
      </c>
      <c r="GW11" t="e">
        <f>AND('2015'!D59,"AAAAAH+f/8w=")</f>
        <v>#VALUE!</v>
      </c>
      <c r="GX11" t="e">
        <f>AND('2015'!E59,"AAAAAH+f/80=")</f>
        <v>#VALUE!</v>
      </c>
      <c r="GY11" t="e">
        <f>AND('2015'!F59,"AAAAAH+f/84=")</f>
        <v>#VALUE!</v>
      </c>
      <c r="GZ11" t="e">
        <f>AND('2015'!G59,"AAAAAH+f/88=")</f>
        <v>#VALUE!</v>
      </c>
      <c r="HA11" t="e">
        <f>AND('2015'!H59,"AAAAAH+f/9A=")</f>
        <v>#VALUE!</v>
      </c>
      <c r="HB11" t="e">
        <f>AND('2015'!I59,"AAAAAH+f/9E=")</f>
        <v>#VALUE!</v>
      </c>
      <c r="HC11" t="e">
        <f>AND('2015'!J59,"AAAAAH+f/9I=")</f>
        <v>#VALUE!</v>
      </c>
      <c r="HD11" t="e">
        <f>AND('2015'!K59,"AAAAAH+f/9M=")</f>
        <v>#VALUE!</v>
      </c>
      <c r="HE11" t="e">
        <f>AND('2015'!L59,"AAAAAH+f/9Q=")</f>
        <v>#VALUE!</v>
      </c>
      <c r="HF11" t="e">
        <f>AND('2015'!M59,"AAAAAH+f/9U=")</f>
        <v>#VALUE!</v>
      </c>
      <c r="HG11" t="e">
        <f>AND('2015'!N59,"AAAAAH+f/9Y=")</f>
        <v>#VALUE!</v>
      </c>
      <c r="HH11" t="e">
        <f>AND('2015'!O59,"AAAAAH+f/9c=")</f>
        <v>#VALUE!</v>
      </c>
      <c r="HI11" t="e">
        <f>AND('2015'!P59,"AAAAAH+f/9g=")</f>
        <v>#VALUE!</v>
      </c>
      <c r="HJ11" t="e">
        <f>AND('2015'!Q59,"AAAAAH+f/9k=")</f>
        <v>#VALUE!</v>
      </c>
      <c r="HK11" t="e">
        <f>AND('2015'!R59,"AAAAAH+f/9o=")</f>
        <v>#VALUE!</v>
      </c>
      <c r="HL11" t="e">
        <f>AND('2015'!S59,"AAAAAH+f/9s=")</f>
        <v>#VALUE!</v>
      </c>
      <c r="HM11" t="e">
        <f>AND('2015'!T59,"AAAAAH+f/9w=")</f>
        <v>#VALUE!</v>
      </c>
      <c r="HN11" t="e">
        <f>AND('2015'!U59,"AAAAAH+f/90=")</f>
        <v>#VALUE!</v>
      </c>
      <c r="HO11" t="e">
        <f>AND('2015'!V59,"AAAAAH+f/94=")</f>
        <v>#VALUE!</v>
      </c>
      <c r="HP11" t="e">
        <f>AND('2015'!W59,"AAAAAH+f/98=")</f>
        <v>#VALUE!</v>
      </c>
      <c r="HQ11" t="e">
        <f>AND('2015'!X59,"AAAAAH+f/+A=")</f>
        <v>#VALUE!</v>
      </c>
      <c r="HR11" t="e">
        <f>AND('2015'!Y59,"AAAAAH+f/+E=")</f>
        <v>#VALUE!</v>
      </c>
      <c r="HS11" t="e">
        <f>AND('2015'!Z59,"AAAAAH+f/+I=")</f>
        <v>#VALUE!</v>
      </c>
      <c r="HT11" t="e">
        <f>AND('2015'!AA59,"AAAAAH+f/+M=")</f>
        <v>#VALUE!</v>
      </c>
      <c r="HU11" t="e">
        <f>AND('2015'!AB59,"AAAAAH+f/+Q=")</f>
        <v>#VALUE!</v>
      </c>
      <c r="HV11" t="e">
        <f>AND('2015'!AC59,"AAAAAH+f/+U=")</f>
        <v>#VALUE!</v>
      </c>
      <c r="HW11" t="e">
        <f>AND('2015'!AD59,"AAAAAH+f/+Y=")</f>
        <v>#VALUE!</v>
      </c>
      <c r="HX11" t="e">
        <f>AND('2015'!AE59,"AAAAAH+f/+c=")</f>
        <v>#VALUE!</v>
      </c>
      <c r="HY11" t="e">
        <f>AND('2015'!AF59,"AAAAAH+f/+g=")</f>
        <v>#VALUE!</v>
      </c>
      <c r="HZ11" t="e">
        <f>AND('2015'!AG59,"AAAAAH+f/+k=")</f>
        <v>#VALUE!</v>
      </c>
      <c r="IA11" t="e">
        <f>AND('2015'!AH59,"AAAAAH+f/+o=")</f>
        <v>#VALUE!</v>
      </c>
      <c r="IB11" t="e">
        <f>AND('2015'!AI59,"AAAAAH+f/+s=")</f>
        <v>#VALUE!</v>
      </c>
      <c r="IC11" t="e">
        <f>AND('2015'!AJ59,"AAAAAH+f/+w=")</f>
        <v>#VALUE!</v>
      </c>
      <c r="ID11" t="e">
        <f>AND('2015'!AK59,"AAAAAH+f/+0=")</f>
        <v>#VALUE!</v>
      </c>
      <c r="IE11" t="e">
        <f>AND('2015'!AL59,"AAAAAH+f/+4=")</f>
        <v>#VALUE!</v>
      </c>
      <c r="IF11" t="e">
        <f>AND('2015'!AM59,"AAAAAH+f/+8=")</f>
        <v>#VALUE!</v>
      </c>
      <c r="IG11" t="e">
        <f>AND('2015'!AN59,"AAAAAH+f//A=")</f>
        <v>#VALUE!</v>
      </c>
      <c r="IH11" t="e">
        <f>AND('2015'!AO59,"AAAAAH+f//E=")</f>
        <v>#VALUE!</v>
      </c>
      <c r="II11" t="e">
        <f>AND('2015'!AP59,"AAAAAH+f//I=")</f>
        <v>#VALUE!</v>
      </c>
      <c r="IJ11" t="e">
        <f>AND('2015'!AQ59,"AAAAAH+f//M=")</f>
        <v>#VALUE!</v>
      </c>
      <c r="IK11" t="e">
        <f>AND('2015'!AR59,"AAAAAH+f//Q=")</f>
        <v>#VALUE!</v>
      </c>
      <c r="IL11" t="e">
        <f>AND('2015'!AS59,"AAAAAH+f//U=")</f>
        <v>#VALUE!</v>
      </c>
      <c r="IM11" t="e">
        <f>AND('2015'!AT59,"AAAAAH+f//Y=")</f>
        <v>#VALUE!</v>
      </c>
      <c r="IN11" t="e">
        <f>AND('2015'!#REF!,"AAAAAH+f//c=")</f>
        <v>#REF!</v>
      </c>
      <c r="IO11" t="e">
        <f>AND('2015'!AU59,"AAAAAH+f//g=")</f>
        <v>#VALUE!</v>
      </c>
      <c r="IP11" t="e">
        <f>AND('2015'!AV59,"AAAAAH+f//k=")</f>
        <v>#VALUE!</v>
      </c>
      <c r="IQ11" t="e">
        <f>AND('2015'!AW59,"AAAAAH+f//o=")</f>
        <v>#VALUE!</v>
      </c>
      <c r="IR11" t="e">
        <f>AND('2015'!AX59,"AAAAAH+f//s=")</f>
        <v>#VALUE!</v>
      </c>
      <c r="IS11" t="e">
        <f>AND('2015'!AY59,"AAAAAH+f//w=")</f>
        <v>#VALUE!</v>
      </c>
      <c r="IT11" t="e">
        <f>AND('2015'!AZ59,"AAAAAH+f//0=")</f>
        <v>#VALUE!</v>
      </c>
      <c r="IU11" t="e">
        <f>AND('2015'!BA59,"AAAAAH+f//4=")</f>
        <v>#VALUE!</v>
      </c>
      <c r="IV11" t="e">
        <f>AND('2015'!BB59,"AAAAAH+f//8=")</f>
        <v>#VALUE!</v>
      </c>
    </row>
    <row r="12" spans="1:256" x14ac:dyDescent="0.25">
      <c r="A12" t="e">
        <f>AND('2015'!BC59,"AAAAAH67+wA=")</f>
        <v>#VALUE!</v>
      </c>
      <c r="B12" t="e">
        <f>AND('2015'!BD59,"AAAAAH67+wE=")</f>
        <v>#VALUE!</v>
      </c>
      <c r="C12" t="e">
        <f>AND('2015'!BE59,"AAAAAH67+wI=")</f>
        <v>#VALUE!</v>
      </c>
      <c r="D12" t="e">
        <f>AND('2015'!BF59,"AAAAAH67+wM=")</f>
        <v>#VALUE!</v>
      </c>
      <c r="E12" t="e">
        <f>AND('2015'!BG59,"AAAAAH67+wQ=")</f>
        <v>#VALUE!</v>
      </c>
      <c r="F12" t="e">
        <f>AND('2015'!BH59,"AAAAAH67+wU=")</f>
        <v>#VALUE!</v>
      </c>
      <c r="G12" t="e">
        <f>AND('2015'!BI59,"AAAAAH67+wY=")</f>
        <v>#VALUE!</v>
      </c>
      <c r="H12" t="e">
        <f>AND('2015'!#REF!,"AAAAAH67+wc=")</f>
        <v>#REF!</v>
      </c>
      <c r="I12" t="e">
        <f>AND('2015'!BJ59,"AAAAAH67+wg=")</f>
        <v>#VALUE!</v>
      </c>
      <c r="J12" t="e">
        <f>AND('2015'!BK59,"AAAAAH67+wk=")</f>
        <v>#VALUE!</v>
      </c>
      <c r="K12" t="e">
        <f>AND('2015'!BL59,"AAAAAH67+wo=")</f>
        <v>#VALUE!</v>
      </c>
      <c r="L12" t="e">
        <f>AND('2015'!BM59,"AAAAAH67+ws=")</f>
        <v>#VALUE!</v>
      </c>
      <c r="M12" t="e">
        <f>AND('2015'!BY59,"AAAAAH67+ww=")</f>
        <v>#VALUE!</v>
      </c>
      <c r="N12">
        <f>IF('2015'!60:60,"AAAAAH67+w0=",0)</f>
        <v>0</v>
      </c>
      <c r="O12" t="e">
        <f>AND('2015'!A60,"AAAAAH67+w4=")</f>
        <v>#VALUE!</v>
      </c>
      <c r="P12" t="e">
        <f>AND('2015'!B60,"AAAAAH67+w8=")</f>
        <v>#VALUE!</v>
      </c>
      <c r="Q12" t="e">
        <f>AND('2015'!C60,"AAAAAH67+xA=")</f>
        <v>#VALUE!</v>
      </c>
      <c r="R12" t="e">
        <f>AND('2015'!D60,"AAAAAH67+xE=")</f>
        <v>#VALUE!</v>
      </c>
      <c r="S12" t="e">
        <f>AND('2015'!E60,"AAAAAH67+xI=")</f>
        <v>#VALUE!</v>
      </c>
      <c r="T12" t="e">
        <f>AND('2015'!F60,"AAAAAH67+xM=")</f>
        <v>#VALUE!</v>
      </c>
      <c r="U12" t="e">
        <f>AND('2015'!G60,"AAAAAH67+xQ=")</f>
        <v>#VALUE!</v>
      </c>
      <c r="V12" t="e">
        <f>AND('2015'!H60,"AAAAAH67+xU=")</f>
        <v>#VALUE!</v>
      </c>
      <c r="W12" t="e">
        <f>AND('2015'!I60,"AAAAAH67+xY=")</f>
        <v>#VALUE!</v>
      </c>
      <c r="X12" t="e">
        <f>AND('2015'!J60,"AAAAAH67+xc=")</f>
        <v>#VALUE!</v>
      </c>
      <c r="Y12" t="e">
        <f>AND('2015'!K60,"AAAAAH67+xg=")</f>
        <v>#VALUE!</v>
      </c>
      <c r="Z12" t="e">
        <f>AND('2015'!L60,"AAAAAH67+xk=")</f>
        <v>#VALUE!</v>
      </c>
      <c r="AA12" t="e">
        <f>AND('2015'!M60,"AAAAAH67+xo=")</f>
        <v>#VALUE!</v>
      </c>
      <c r="AB12" t="e">
        <f>AND('2015'!N60,"AAAAAH67+xs=")</f>
        <v>#VALUE!</v>
      </c>
      <c r="AC12" t="e">
        <f>AND('2015'!O60,"AAAAAH67+xw=")</f>
        <v>#VALUE!</v>
      </c>
      <c r="AD12" t="e">
        <f>AND('2015'!P60,"AAAAAH67+x0=")</f>
        <v>#VALUE!</v>
      </c>
      <c r="AE12" t="e">
        <f>AND('2015'!Q60,"AAAAAH67+x4=")</f>
        <v>#VALUE!</v>
      </c>
      <c r="AF12" t="e">
        <f>AND('2015'!R60,"AAAAAH67+x8=")</f>
        <v>#VALUE!</v>
      </c>
      <c r="AG12" t="e">
        <f>AND('2015'!S60,"AAAAAH67+yA=")</f>
        <v>#VALUE!</v>
      </c>
      <c r="AH12" t="e">
        <f>AND('2015'!T60,"AAAAAH67+yE=")</f>
        <v>#VALUE!</v>
      </c>
      <c r="AI12" t="e">
        <f>AND('2015'!U60,"AAAAAH67+yI=")</f>
        <v>#VALUE!</v>
      </c>
      <c r="AJ12" t="e">
        <f>AND('2015'!V60,"AAAAAH67+yM=")</f>
        <v>#VALUE!</v>
      </c>
      <c r="AK12" t="e">
        <f>AND('2015'!W60,"AAAAAH67+yQ=")</f>
        <v>#VALUE!</v>
      </c>
      <c r="AL12" t="e">
        <f>AND('2015'!X60,"AAAAAH67+yU=")</f>
        <v>#VALUE!</v>
      </c>
      <c r="AM12" t="e">
        <f>AND('2015'!Y60,"AAAAAH67+yY=")</f>
        <v>#VALUE!</v>
      </c>
      <c r="AN12" t="e">
        <f>AND('2015'!Z60,"AAAAAH67+yc=")</f>
        <v>#VALUE!</v>
      </c>
      <c r="AO12" t="e">
        <f>AND('2015'!AA60,"AAAAAH67+yg=")</f>
        <v>#VALUE!</v>
      </c>
      <c r="AP12" t="e">
        <f>AND('2015'!AB60,"AAAAAH67+yk=")</f>
        <v>#VALUE!</v>
      </c>
      <c r="AQ12" t="e">
        <f>AND('2015'!AC60,"AAAAAH67+yo=")</f>
        <v>#VALUE!</v>
      </c>
      <c r="AR12" t="e">
        <f>AND('2015'!AD60,"AAAAAH67+ys=")</f>
        <v>#VALUE!</v>
      </c>
      <c r="AS12" t="e">
        <f>AND('2015'!AE60,"AAAAAH67+yw=")</f>
        <v>#VALUE!</v>
      </c>
      <c r="AT12" t="e">
        <f>AND('2015'!AF60,"AAAAAH67+y0=")</f>
        <v>#VALUE!</v>
      </c>
      <c r="AU12" t="e">
        <f>AND('2015'!AG60,"AAAAAH67+y4=")</f>
        <v>#VALUE!</v>
      </c>
      <c r="AV12" t="e">
        <f>AND('2015'!AH60,"AAAAAH67+y8=")</f>
        <v>#VALUE!</v>
      </c>
      <c r="AW12" t="e">
        <f>AND('2015'!AI60,"AAAAAH67+zA=")</f>
        <v>#VALUE!</v>
      </c>
      <c r="AX12" t="e">
        <f>AND('2015'!AJ60,"AAAAAH67+zE=")</f>
        <v>#VALUE!</v>
      </c>
      <c r="AY12" t="e">
        <f>AND('2015'!AK60,"AAAAAH67+zI=")</f>
        <v>#VALUE!</v>
      </c>
      <c r="AZ12" t="e">
        <f>AND('2015'!AL60,"AAAAAH67+zM=")</f>
        <v>#VALUE!</v>
      </c>
      <c r="BA12" t="e">
        <f>AND('2015'!AM60,"AAAAAH67+zQ=")</f>
        <v>#VALUE!</v>
      </c>
      <c r="BB12" t="e">
        <f>AND('2015'!AN60,"AAAAAH67+zU=")</f>
        <v>#VALUE!</v>
      </c>
      <c r="BC12" t="e">
        <f>AND('2015'!AO60,"AAAAAH67+zY=")</f>
        <v>#VALUE!</v>
      </c>
      <c r="BD12" t="e">
        <f>AND('2015'!AP60,"AAAAAH67+zc=")</f>
        <v>#VALUE!</v>
      </c>
      <c r="BE12" t="e">
        <f>AND('2015'!AQ60,"AAAAAH67+zg=")</f>
        <v>#VALUE!</v>
      </c>
      <c r="BF12" t="e">
        <f>AND('2015'!AR60,"AAAAAH67+zk=")</f>
        <v>#VALUE!</v>
      </c>
      <c r="BG12" t="e">
        <f>AND('2015'!AS60,"AAAAAH67+zo=")</f>
        <v>#VALUE!</v>
      </c>
      <c r="BH12" t="e">
        <f>AND('2015'!AT60,"AAAAAH67+zs=")</f>
        <v>#VALUE!</v>
      </c>
      <c r="BI12" t="e">
        <f>AND('2015'!#REF!,"AAAAAH67+zw=")</f>
        <v>#REF!</v>
      </c>
      <c r="BJ12" t="e">
        <f>AND('2015'!AU60,"AAAAAH67+z0=")</f>
        <v>#VALUE!</v>
      </c>
      <c r="BK12" t="e">
        <f>AND('2015'!AV60,"AAAAAH67+z4=")</f>
        <v>#VALUE!</v>
      </c>
      <c r="BL12" t="e">
        <f>AND('2015'!AW60,"AAAAAH67+z8=")</f>
        <v>#VALUE!</v>
      </c>
      <c r="BM12" t="e">
        <f>AND('2015'!AX60,"AAAAAH67+0A=")</f>
        <v>#VALUE!</v>
      </c>
      <c r="BN12" t="e">
        <f>AND('2015'!AY60,"AAAAAH67+0E=")</f>
        <v>#VALUE!</v>
      </c>
      <c r="BO12" t="e">
        <f>AND('2015'!AZ60,"AAAAAH67+0I=")</f>
        <v>#VALUE!</v>
      </c>
      <c r="BP12" t="e">
        <f>AND('2015'!BA60,"AAAAAH67+0M=")</f>
        <v>#VALUE!</v>
      </c>
      <c r="BQ12" t="e">
        <f>AND('2015'!BB60,"AAAAAH67+0Q=")</f>
        <v>#VALUE!</v>
      </c>
      <c r="BR12" t="e">
        <f>AND('2015'!BC60,"AAAAAH67+0U=")</f>
        <v>#VALUE!</v>
      </c>
      <c r="BS12" t="e">
        <f>AND('2015'!BD60,"AAAAAH67+0Y=")</f>
        <v>#VALUE!</v>
      </c>
      <c r="BT12" t="e">
        <f>AND('2015'!BE60,"AAAAAH67+0c=")</f>
        <v>#VALUE!</v>
      </c>
      <c r="BU12" t="e">
        <f>AND('2015'!BF60,"AAAAAH67+0g=")</f>
        <v>#VALUE!</v>
      </c>
      <c r="BV12" t="e">
        <f>AND('2015'!BG60,"AAAAAH67+0k=")</f>
        <v>#VALUE!</v>
      </c>
      <c r="BW12" t="e">
        <f>AND('2015'!BH60,"AAAAAH67+0o=")</f>
        <v>#VALUE!</v>
      </c>
      <c r="BX12" t="e">
        <f>AND('2015'!BI60,"AAAAAH67+0s=")</f>
        <v>#VALUE!</v>
      </c>
      <c r="BY12" t="e">
        <f>AND('2015'!#REF!,"AAAAAH67+0w=")</f>
        <v>#REF!</v>
      </c>
      <c r="BZ12" t="e">
        <f>AND('2015'!BJ60,"AAAAAH67+00=")</f>
        <v>#VALUE!</v>
      </c>
      <c r="CA12" t="e">
        <f>AND('2015'!BK60,"AAAAAH67+04=")</f>
        <v>#VALUE!</v>
      </c>
      <c r="CB12" t="e">
        <f>AND('2015'!BL60,"AAAAAH67+08=")</f>
        <v>#VALUE!</v>
      </c>
      <c r="CC12" t="e">
        <f>AND('2015'!BM60,"AAAAAH67+1A=")</f>
        <v>#VALUE!</v>
      </c>
      <c r="CD12" t="e">
        <f>AND('2015'!BY60,"AAAAAH67+1E=")</f>
        <v>#VALUE!</v>
      </c>
      <c r="CE12">
        <f>IF('2015'!61:61,"AAAAAH67+1I=",0)</f>
        <v>0</v>
      </c>
      <c r="CF12" t="e">
        <f>AND('2015'!A61,"AAAAAH67+1M=")</f>
        <v>#VALUE!</v>
      </c>
      <c r="CG12" t="e">
        <f>AND('2015'!B61,"AAAAAH67+1Q=")</f>
        <v>#VALUE!</v>
      </c>
      <c r="CH12" t="e">
        <f>AND('2015'!C61,"AAAAAH67+1U=")</f>
        <v>#VALUE!</v>
      </c>
      <c r="CI12" t="e">
        <f>AND('2015'!D61,"AAAAAH67+1Y=")</f>
        <v>#VALUE!</v>
      </c>
      <c r="CJ12" t="e">
        <f>AND('2015'!E61,"AAAAAH67+1c=")</f>
        <v>#VALUE!</v>
      </c>
      <c r="CK12" t="e">
        <f>AND('2015'!F61,"AAAAAH67+1g=")</f>
        <v>#VALUE!</v>
      </c>
      <c r="CL12" t="e">
        <f>AND('2015'!G61,"AAAAAH67+1k=")</f>
        <v>#VALUE!</v>
      </c>
      <c r="CM12" t="e">
        <f>AND('2015'!H61,"AAAAAH67+1o=")</f>
        <v>#VALUE!</v>
      </c>
      <c r="CN12" t="e">
        <f>AND('2015'!I61,"AAAAAH67+1s=")</f>
        <v>#VALUE!</v>
      </c>
      <c r="CO12" t="e">
        <f>AND('2015'!J61,"AAAAAH67+1w=")</f>
        <v>#VALUE!</v>
      </c>
      <c r="CP12" t="e">
        <f>AND('2015'!K61,"AAAAAH67+10=")</f>
        <v>#VALUE!</v>
      </c>
      <c r="CQ12" t="e">
        <f>AND('2015'!L61,"AAAAAH67+14=")</f>
        <v>#VALUE!</v>
      </c>
      <c r="CR12" t="e">
        <f>AND('2015'!M61,"AAAAAH67+18=")</f>
        <v>#VALUE!</v>
      </c>
      <c r="CS12" t="e">
        <f>AND('2015'!N61,"AAAAAH67+2A=")</f>
        <v>#VALUE!</v>
      </c>
      <c r="CT12" t="e">
        <f>AND('2015'!O61,"AAAAAH67+2E=")</f>
        <v>#VALUE!</v>
      </c>
      <c r="CU12" t="e">
        <f>AND('2015'!P61,"AAAAAH67+2I=")</f>
        <v>#VALUE!</v>
      </c>
      <c r="CV12" t="e">
        <f>AND('2015'!Q61,"AAAAAH67+2M=")</f>
        <v>#VALUE!</v>
      </c>
      <c r="CW12" t="e">
        <f>AND('2015'!R61,"AAAAAH67+2Q=")</f>
        <v>#VALUE!</v>
      </c>
      <c r="CX12" t="e">
        <f>AND('2015'!S61,"AAAAAH67+2U=")</f>
        <v>#VALUE!</v>
      </c>
      <c r="CY12" t="e">
        <f>AND('2015'!T61,"AAAAAH67+2Y=")</f>
        <v>#VALUE!</v>
      </c>
      <c r="CZ12" t="e">
        <f>AND('2015'!U61,"AAAAAH67+2c=")</f>
        <v>#VALUE!</v>
      </c>
      <c r="DA12" t="e">
        <f>AND('2015'!V61,"AAAAAH67+2g=")</f>
        <v>#VALUE!</v>
      </c>
      <c r="DB12" t="e">
        <f>AND('2015'!W61,"AAAAAH67+2k=")</f>
        <v>#VALUE!</v>
      </c>
      <c r="DC12" t="e">
        <f>AND('2015'!X61,"AAAAAH67+2o=")</f>
        <v>#VALUE!</v>
      </c>
      <c r="DD12" t="e">
        <f>AND('2015'!Y61,"AAAAAH67+2s=")</f>
        <v>#VALUE!</v>
      </c>
      <c r="DE12" t="e">
        <f>AND('2015'!Z61,"AAAAAH67+2w=")</f>
        <v>#VALUE!</v>
      </c>
      <c r="DF12" t="e">
        <f>AND('2015'!AA61,"AAAAAH67+20=")</f>
        <v>#VALUE!</v>
      </c>
      <c r="DG12" t="e">
        <f>AND('2015'!AB61,"AAAAAH67+24=")</f>
        <v>#VALUE!</v>
      </c>
      <c r="DH12" t="e">
        <f>AND('2015'!AC61,"AAAAAH67+28=")</f>
        <v>#VALUE!</v>
      </c>
      <c r="DI12" t="e">
        <f>AND('2015'!AD61,"AAAAAH67+3A=")</f>
        <v>#VALUE!</v>
      </c>
      <c r="DJ12" t="e">
        <f>AND('2015'!AE61,"AAAAAH67+3E=")</f>
        <v>#VALUE!</v>
      </c>
      <c r="DK12" t="e">
        <f>AND('2015'!AF61,"AAAAAH67+3I=")</f>
        <v>#VALUE!</v>
      </c>
      <c r="DL12" t="e">
        <f>AND('2015'!AG61,"AAAAAH67+3M=")</f>
        <v>#VALUE!</v>
      </c>
      <c r="DM12" t="e">
        <f>AND('2015'!AH61,"AAAAAH67+3Q=")</f>
        <v>#VALUE!</v>
      </c>
      <c r="DN12" t="e">
        <f>AND('2015'!AI61,"AAAAAH67+3U=")</f>
        <v>#VALUE!</v>
      </c>
      <c r="DO12" t="e">
        <f>AND('2015'!AJ61,"AAAAAH67+3Y=")</f>
        <v>#VALUE!</v>
      </c>
      <c r="DP12" t="e">
        <f>AND('2015'!AK61,"AAAAAH67+3c=")</f>
        <v>#VALUE!</v>
      </c>
      <c r="DQ12" t="e">
        <f>AND('2015'!AL61,"AAAAAH67+3g=")</f>
        <v>#VALUE!</v>
      </c>
      <c r="DR12" t="e">
        <f>AND('2015'!AM61,"AAAAAH67+3k=")</f>
        <v>#VALUE!</v>
      </c>
      <c r="DS12" t="e">
        <f>AND('2015'!AN61,"AAAAAH67+3o=")</f>
        <v>#VALUE!</v>
      </c>
      <c r="DT12" t="e">
        <f>AND('2015'!AO61,"AAAAAH67+3s=")</f>
        <v>#VALUE!</v>
      </c>
      <c r="DU12" t="e">
        <f>AND('2015'!AP61,"AAAAAH67+3w=")</f>
        <v>#VALUE!</v>
      </c>
      <c r="DV12" t="e">
        <f>AND('2015'!AQ61,"AAAAAH67+30=")</f>
        <v>#VALUE!</v>
      </c>
      <c r="DW12" t="e">
        <f>AND('2015'!AR61,"AAAAAH67+34=")</f>
        <v>#VALUE!</v>
      </c>
      <c r="DX12" t="e">
        <f>AND('2015'!AS61,"AAAAAH67+38=")</f>
        <v>#VALUE!</v>
      </c>
      <c r="DY12" t="e">
        <f>AND('2015'!AT61,"AAAAAH67+4A=")</f>
        <v>#VALUE!</v>
      </c>
      <c r="DZ12" t="e">
        <f>AND('2015'!#REF!,"AAAAAH67+4E=")</f>
        <v>#REF!</v>
      </c>
      <c r="EA12" t="e">
        <f>AND('2015'!AU61,"AAAAAH67+4I=")</f>
        <v>#VALUE!</v>
      </c>
      <c r="EB12" t="e">
        <f>AND('2015'!AV61,"AAAAAH67+4M=")</f>
        <v>#VALUE!</v>
      </c>
      <c r="EC12" t="e">
        <f>AND('2015'!AW61,"AAAAAH67+4Q=")</f>
        <v>#VALUE!</v>
      </c>
      <c r="ED12" t="e">
        <f>AND('2015'!AX61,"AAAAAH67+4U=")</f>
        <v>#VALUE!</v>
      </c>
      <c r="EE12" t="e">
        <f>AND('2015'!AY61,"AAAAAH67+4Y=")</f>
        <v>#VALUE!</v>
      </c>
      <c r="EF12" t="e">
        <f>AND('2015'!AZ61,"AAAAAH67+4c=")</f>
        <v>#VALUE!</v>
      </c>
      <c r="EG12" t="e">
        <f>AND('2015'!BA61,"AAAAAH67+4g=")</f>
        <v>#VALUE!</v>
      </c>
      <c r="EH12" t="e">
        <f>AND('2015'!BB61,"AAAAAH67+4k=")</f>
        <v>#VALUE!</v>
      </c>
      <c r="EI12" t="e">
        <f>AND('2015'!BC61,"AAAAAH67+4o=")</f>
        <v>#VALUE!</v>
      </c>
      <c r="EJ12" t="e">
        <f>AND('2015'!BD61,"AAAAAH67+4s=")</f>
        <v>#VALUE!</v>
      </c>
      <c r="EK12" t="e">
        <f>AND('2015'!BE61,"AAAAAH67+4w=")</f>
        <v>#VALUE!</v>
      </c>
      <c r="EL12" t="e">
        <f>AND('2015'!BF61,"AAAAAH67+40=")</f>
        <v>#VALUE!</v>
      </c>
      <c r="EM12" t="e">
        <f>AND('2015'!BG61,"AAAAAH67+44=")</f>
        <v>#VALUE!</v>
      </c>
      <c r="EN12" t="e">
        <f>AND('2015'!BH61,"AAAAAH67+48=")</f>
        <v>#VALUE!</v>
      </c>
      <c r="EO12" t="e">
        <f>AND('2015'!BI61,"AAAAAH67+5A=")</f>
        <v>#VALUE!</v>
      </c>
      <c r="EP12" t="e">
        <f>AND('2015'!#REF!,"AAAAAH67+5E=")</f>
        <v>#REF!</v>
      </c>
      <c r="EQ12" t="e">
        <f>AND('2015'!BJ61,"AAAAAH67+5I=")</f>
        <v>#VALUE!</v>
      </c>
      <c r="ER12" t="e">
        <f>AND('2015'!BK61,"AAAAAH67+5M=")</f>
        <v>#VALUE!</v>
      </c>
      <c r="ES12" t="e">
        <f>AND('2015'!BL61,"AAAAAH67+5Q=")</f>
        <v>#VALUE!</v>
      </c>
      <c r="ET12" t="e">
        <f>AND('2015'!BM61,"AAAAAH67+5U=")</f>
        <v>#VALUE!</v>
      </c>
      <c r="EU12" t="e">
        <f>AND('2015'!BY61,"AAAAAH67+5Y=")</f>
        <v>#VALUE!</v>
      </c>
      <c r="EV12">
        <f>IF('2015'!62:62,"AAAAAH67+5c=",0)</f>
        <v>0</v>
      </c>
      <c r="EW12" t="e">
        <f>AND('2015'!A62,"AAAAAH67+5g=")</f>
        <v>#VALUE!</v>
      </c>
      <c r="EX12" t="e">
        <f>AND('2015'!B62,"AAAAAH67+5k=")</f>
        <v>#VALUE!</v>
      </c>
      <c r="EY12" t="e">
        <f>AND('2015'!C62,"AAAAAH67+5o=")</f>
        <v>#VALUE!</v>
      </c>
      <c r="EZ12" t="e">
        <f>AND('2015'!D62,"AAAAAH67+5s=")</f>
        <v>#VALUE!</v>
      </c>
      <c r="FA12" t="e">
        <f>AND('2015'!E62,"AAAAAH67+5w=")</f>
        <v>#VALUE!</v>
      </c>
      <c r="FB12" t="e">
        <f>AND('2015'!F62,"AAAAAH67+50=")</f>
        <v>#VALUE!</v>
      </c>
      <c r="FC12" t="e">
        <f>AND('2015'!G62,"AAAAAH67+54=")</f>
        <v>#VALUE!</v>
      </c>
      <c r="FD12" t="e">
        <f>AND('2015'!H62,"AAAAAH67+58=")</f>
        <v>#VALUE!</v>
      </c>
      <c r="FE12" t="e">
        <f>AND('2015'!I62,"AAAAAH67+6A=")</f>
        <v>#VALUE!</v>
      </c>
      <c r="FF12" t="e">
        <f>AND('2015'!J62,"AAAAAH67+6E=")</f>
        <v>#VALUE!</v>
      </c>
      <c r="FG12" t="e">
        <f>AND('2015'!K62,"AAAAAH67+6I=")</f>
        <v>#VALUE!</v>
      </c>
      <c r="FH12" t="e">
        <f>AND('2015'!L62,"AAAAAH67+6M=")</f>
        <v>#VALUE!</v>
      </c>
      <c r="FI12" t="e">
        <f>AND('2015'!M62,"AAAAAH67+6Q=")</f>
        <v>#VALUE!</v>
      </c>
      <c r="FJ12" t="e">
        <f>AND('2015'!N62,"AAAAAH67+6U=")</f>
        <v>#VALUE!</v>
      </c>
      <c r="FK12" t="e">
        <f>AND('2015'!O62,"AAAAAH67+6Y=")</f>
        <v>#VALUE!</v>
      </c>
      <c r="FL12" t="e">
        <f>AND('2015'!P62,"AAAAAH67+6c=")</f>
        <v>#VALUE!</v>
      </c>
      <c r="FM12" t="e">
        <f>AND('2015'!Q62,"AAAAAH67+6g=")</f>
        <v>#VALUE!</v>
      </c>
      <c r="FN12" t="e">
        <f>AND('2015'!R62,"AAAAAH67+6k=")</f>
        <v>#VALUE!</v>
      </c>
      <c r="FO12" t="e">
        <f>AND('2015'!S62,"AAAAAH67+6o=")</f>
        <v>#VALUE!</v>
      </c>
      <c r="FP12" t="e">
        <f>AND('2015'!T62,"AAAAAH67+6s=")</f>
        <v>#VALUE!</v>
      </c>
      <c r="FQ12" t="e">
        <f>AND('2015'!U62,"AAAAAH67+6w=")</f>
        <v>#VALUE!</v>
      </c>
      <c r="FR12" t="e">
        <f>AND('2015'!V62,"AAAAAH67+60=")</f>
        <v>#VALUE!</v>
      </c>
      <c r="FS12" t="e">
        <f>AND('2015'!W62,"AAAAAH67+64=")</f>
        <v>#VALUE!</v>
      </c>
      <c r="FT12" t="e">
        <f>AND('2015'!X62,"AAAAAH67+68=")</f>
        <v>#VALUE!</v>
      </c>
      <c r="FU12" t="e">
        <f>AND('2015'!Y62,"AAAAAH67+7A=")</f>
        <v>#VALUE!</v>
      </c>
      <c r="FV12" t="e">
        <f>AND('2015'!Z62,"AAAAAH67+7E=")</f>
        <v>#VALUE!</v>
      </c>
      <c r="FW12" t="e">
        <f>AND('2015'!AA62,"AAAAAH67+7I=")</f>
        <v>#VALUE!</v>
      </c>
      <c r="FX12" t="e">
        <f>AND('2015'!AB62,"AAAAAH67+7M=")</f>
        <v>#VALUE!</v>
      </c>
      <c r="FY12" t="e">
        <f>AND('2015'!AC62,"AAAAAH67+7Q=")</f>
        <v>#VALUE!</v>
      </c>
      <c r="FZ12" t="e">
        <f>AND('2015'!AD62,"AAAAAH67+7U=")</f>
        <v>#VALUE!</v>
      </c>
      <c r="GA12" t="e">
        <f>AND('2015'!AE62,"AAAAAH67+7Y=")</f>
        <v>#VALUE!</v>
      </c>
      <c r="GB12" t="e">
        <f>AND('2015'!AF62,"AAAAAH67+7c=")</f>
        <v>#VALUE!</v>
      </c>
      <c r="GC12" t="e">
        <f>AND('2015'!AG62,"AAAAAH67+7g=")</f>
        <v>#VALUE!</v>
      </c>
      <c r="GD12" t="e">
        <f>AND('2015'!AH62,"AAAAAH67+7k=")</f>
        <v>#VALUE!</v>
      </c>
      <c r="GE12" t="e">
        <f>AND('2015'!AI62,"AAAAAH67+7o=")</f>
        <v>#VALUE!</v>
      </c>
      <c r="GF12" t="e">
        <f>AND('2015'!AJ62,"AAAAAH67+7s=")</f>
        <v>#VALUE!</v>
      </c>
      <c r="GG12" t="e">
        <f>AND('2015'!AK62,"AAAAAH67+7w=")</f>
        <v>#VALUE!</v>
      </c>
      <c r="GH12" t="e">
        <f>AND('2015'!AL62,"AAAAAH67+70=")</f>
        <v>#VALUE!</v>
      </c>
      <c r="GI12" t="e">
        <f>AND('2015'!AM62,"AAAAAH67+74=")</f>
        <v>#VALUE!</v>
      </c>
      <c r="GJ12" t="e">
        <f>AND('2015'!AN62,"AAAAAH67+78=")</f>
        <v>#VALUE!</v>
      </c>
      <c r="GK12" t="e">
        <f>AND('2015'!AO62,"AAAAAH67+8A=")</f>
        <v>#VALUE!</v>
      </c>
      <c r="GL12" t="e">
        <f>AND('2015'!AP62,"AAAAAH67+8E=")</f>
        <v>#VALUE!</v>
      </c>
      <c r="GM12" t="e">
        <f>AND('2015'!AQ62,"AAAAAH67+8I=")</f>
        <v>#VALUE!</v>
      </c>
      <c r="GN12" t="e">
        <f>AND('2015'!AR62,"AAAAAH67+8M=")</f>
        <v>#VALUE!</v>
      </c>
      <c r="GO12" t="e">
        <f>AND('2015'!AS62,"AAAAAH67+8Q=")</f>
        <v>#VALUE!</v>
      </c>
      <c r="GP12" t="e">
        <f>AND('2015'!AT62,"AAAAAH67+8U=")</f>
        <v>#VALUE!</v>
      </c>
      <c r="GQ12" t="e">
        <f>AND('2015'!#REF!,"AAAAAH67+8Y=")</f>
        <v>#REF!</v>
      </c>
      <c r="GR12" t="e">
        <f>AND('2015'!AU62,"AAAAAH67+8c=")</f>
        <v>#VALUE!</v>
      </c>
      <c r="GS12" t="e">
        <f>AND('2015'!AV62,"AAAAAH67+8g=")</f>
        <v>#VALUE!</v>
      </c>
      <c r="GT12" t="e">
        <f>AND('2015'!AW62,"AAAAAH67+8k=")</f>
        <v>#VALUE!</v>
      </c>
      <c r="GU12" t="e">
        <f>AND('2015'!AX62,"AAAAAH67+8o=")</f>
        <v>#VALUE!</v>
      </c>
      <c r="GV12" t="e">
        <f>AND('2015'!AY62,"AAAAAH67+8s=")</f>
        <v>#VALUE!</v>
      </c>
      <c r="GW12" t="e">
        <f>AND('2015'!AZ62,"AAAAAH67+8w=")</f>
        <v>#VALUE!</v>
      </c>
      <c r="GX12" t="e">
        <f>AND('2015'!BA62,"AAAAAH67+80=")</f>
        <v>#VALUE!</v>
      </c>
      <c r="GY12" t="e">
        <f>AND('2015'!BB62,"AAAAAH67+84=")</f>
        <v>#VALUE!</v>
      </c>
      <c r="GZ12" t="e">
        <f>AND('2015'!BC62,"AAAAAH67+88=")</f>
        <v>#VALUE!</v>
      </c>
      <c r="HA12" t="e">
        <f>AND('2015'!BD62,"AAAAAH67+9A=")</f>
        <v>#VALUE!</v>
      </c>
      <c r="HB12" t="e">
        <f>AND('2015'!BE62,"AAAAAH67+9E=")</f>
        <v>#VALUE!</v>
      </c>
      <c r="HC12" t="e">
        <f>AND('2015'!BF62,"AAAAAH67+9I=")</f>
        <v>#VALUE!</v>
      </c>
      <c r="HD12" t="e">
        <f>AND('2015'!BG62,"AAAAAH67+9M=")</f>
        <v>#VALUE!</v>
      </c>
      <c r="HE12" t="e">
        <f>AND('2015'!BH62,"AAAAAH67+9Q=")</f>
        <v>#VALUE!</v>
      </c>
      <c r="HF12" t="e">
        <f>AND('2015'!BI62,"AAAAAH67+9U=")</f>
        <v>#VALUE!</v>
      </c>
      <c r="HG12" t="e">
        <f>AND('2015'!#REF!,"AAAAAH67+9Y=")</f>
        <v>#REF!</v>
      </c>
      <c r="HH12" t="e">
        <f>AND('2015'!BJ62,"AAAAAH67+9c=")</f>
        <v>#VALUE!</v>
      </c>
      <c r="HI12" t="e">
        <f>AND('2015'!BK62,"AAAAAH67+9g=")</f>
        <v>#VALUE!</v>
      </c>
      <c r="HJ12" t="e">
        <f>AND('2015'!BL62,"AAAAAH67+9k=")</f>
        <v>#VALUE!</v>
      </c>
      <c r="HK12" t="e">
        <f>AND('2015'!BM62,"AAAAAH67+9o=")</f>
        <v>#VALUE!</v>
      </c>
      <c r="HL12" t="e">
        <f>AND('2015'!BY62,"AAAAAH67+9s=")</f>
        <v>#VALUE!</v>
      </c>
      <c r="HM12">
        <f>IF('2015'!63:63,"AAAAAH67+9w=",0)</f>
        <v>0</v>
      </c>
      <c r="HN12" t="e">
        <f>AND('2015'!A63,"AAAAAH67+90=")</f>
        <v>#VALUE!</v>
      </c>
      <c r="HO12" t="e">
        <f>AND('2015'!B63,"AAAAAH67+94=")</f>
        <v>#VALUE!</v>
      </c>
      <c r="HP12" t="e">
        <f>AND('2015'!C63,"AAAAAH67+98=")</f>
        <v>#VALUE!</v>
      </c>
      <c r="HQ12" t="e">
        <f>AND('2015'!D63,"AAAAAH67++A=")</f>
        <v>#VALUE!</v>
      </c>
      <c r="HR12" t="e">
        <f>AND('2015'!E63,"AAAAAH67++E=")</f>
        <v>#VALUE!</v>
      </c>
      <c r="HS12" t="e">
        <f>AND('2015'!F63,"AAAAAH67++I=")</f>
        <v>#VALUE!</v>
      </c>
      <c r="HT12" t="e">
        <f>AND('2015'!G63,"AAAAAH67++M=")</f>
        <v>#VALUE!</v>
      </c>
      <c r="HU12" t="e">
        <f>AND('2015'!H63,"AAAAAH67++Q=")</f>
        <v>#VALUE!</v>
      </c>
      <c r="HV12" t="e">
        <f>AND('2015'!I63,"AAAAAH67++U=")</f>
        <v>#VALUE!</v>
      </c>
      <c r="HW12" t="e">
        <f>AND('2015'!J63,"AAAAAH67++Y=")</f>
        <v>#VALUE!</v>
      </c>
      <c r="HX12" t="e">
        <f>AND('2015'!K63,"AAAAAH67++c=")</f>
        <v>#VALUE!</v>
      </c>
      <c r="HY12" t="e">
        <f>AND('2015'!L63,"AAAAAH67++g=")</f>
        <v>#VALUE!</v>
      </c>
      <c r="HZ12" t="e">
        <f>AND('2015'!M63,"AAAAAH67++k=")</f>
        <v>#VALUE!</v>
      </c>
      <c r="IA12" t="e">
        <f>AND('2015'!N63,"AAAAAH67++o=")</f>
        <v>#VALUE!</v>
      </c>
      <c r="IB12" t="e">
        <f>AND('2015'!O63,"AAAAAH67++s=")</f>
        <v>#VALUE!</v>
      </c>
      <c r="IC12" t="e">
        <f>AND('2015'!P63,"AAAAAH67++w=")</f>
        <v>#VALUE!</v>
      </c>
      <c r="ID12" t="e">
        <f>AND('2015'!Q63,"AAAAAH67++0=")</f>
        <v>#VALUE!</v>
      </c>
      <c r="IE12" t="e">
        <f>AND('2015'!R63,"AAAAAH67++4=")</f>
        <v>#VALUE!</v>
      </c>
      <c r="IF12" t="e">
        <f>AND('2015'!S63,"AAAAAH67++8=")</f>
        <v>#VALUE!</v>
      </c>
      <c r="IG12" t="e">
        <f>AND('2015'!T63,"AAAAAH67+/A=")</f>
        <v>#VALUE!</v>
      </c>
      <c r="IH12" t="e">
        <f>AND('2015'!U63,"AAAAAH67+/E=")</f>
        <v>#VALUE!</v>
      </c>
      <c r="II12" t="e">
        <f>AND('2015'!V63,"AAAAAH67+/I=")</f>
        <v>#VALUE!</v>
      </c>
      <c r="IJ12" t="e">
        <f>AND('2015'!W63,"AAAAAH67+/M=")</f>
        <v>#VALUE!</v>
      </c>
      <c r="IK12" t="e">
        <f>AND('2015'!X63,"AAAAAH67+/Q=")</f>
        <v>#VALUE!</v>
      </c>
      <c r="IL12" t="e">
        <f>AND('2015'!Y63,"AAAAAH67+/U=")</f>
        <v>#VALUE!</v>
      </c>
      <c r="IM12" t="e">
        <f>AND('2015'!Z63,"AAAAAH67+/Y=")</f>
        <v>#VALUE!</v>
      </c>
      <c r="IN12" t="e">
        <f>AND('2015'!AA63,"AAAAAH67+/c=")</f>
        <v>#VALUE!</v>
      </c>
      <c r="IO12" t="e">
        <f>AND('2015'!AB63,"AAAAAH67+/g=")</f>
        <v>#VALUE!</v>
      </c>
      <c r="IP12" t="e">
        <f>AND('2015'!AC63,"AAAAAH67+/k=")</f>
        <v>#VALUE!</v>
      </c>
      <c r="IQ12" t="e">
        <f>AND('2015'!AD63,"AAAAAH67+/o=")</f>
        <v>#VALUE!</v>
      </c>
      <c r="IR12" t="e">
        <f>AND('2015'!AE63,"AAAAAH67+/s=")</f>
        <v>#VALUE!</v>
      </c>
      <c r="IS12" t="e">
        <f>AND('2015'!AF63,"AAAAAH67+/w=")</f>
        <v>#VALUE!</v>
      </c>
      <c r="IT12" t="e">
        <f>AND('2015'!AG63,"AAAAAH67+/0=")</f>
        <v>#VALUE!</v>
      </c>
      <c r="IU12" t="e">
        <f>AND('2015'!AH63,"AAAAAH67+/4=")</f>
        <v>#VALUE!</v>
      </c>
      <c r="IV12" t="e">
        <f>AND('2015'!AI63,"AAAAAH67+/8=")</f>
        <v>#VALUE!</v>
      </c>
    </row>
    <row r="13" spans="1:256" x14ac:dyDescent="0.25">
      <c r="A13" t="e">
        <f>AND('2015'!AJ63,"AAAAAG5/9QA=")</f>
        <v>#VALUE!</v>
      </c>
      <c r="B13" t="e">
        <f>AND('2015'!AK63,"AAAAAG5/9QE=")</f>
        <v>#VALUE!</v>
      </c>
      <c r="C13" t="e">
        <f>AND('2015'!AL63,"AAAAAG5/9QI=")</f>
        <v>#VALUE!</v>
      </c>
      <c r="D13" t="e">
        <f>AND('2015'!AM63,"AAAAAG5/9QM=")</f>
        <v>#VALUE!</v>
      </c>
      <c r="E13" t="e">
        <f>AND('2015'!AN63,"AAAAAG5/9QQ=")</f>
        <v>#VALUE!</v>
      </c>
      <c r="F13" t="e">
        <f>AND('2015'!AO63,"AAAAAG5/9QU=")</f>
        <v>#VALUE!</v>
      </c>
      <c r="G13" t="e">
        <f>AND('2015'!AP63,"AAAAAG5/9QY=")</f>
        <v>#VALUE!</v>
      </c>
      <c r="H13" t="e">
        <f>AND('2015'!AQ63,"AAAAAG5/9Qc=")</f>
        <v>#VALUE!</v>
      </c>
      <c r="I13" t="e">
        <f>AND('2015'!AR63,"AAAAAG5/9Qg=")</f>
        <v>#VALUE!</v>
      </c>
      <c r="J13" t="e">
        <f>AND('2015'!AS63,"AAAAAG5/9Qk=")</f>
        <v>#VALUE!</v>
      </c>
      <c r="K13" t="e">
        <f>AND('2015'!AT63,"AAAAAG5/9Qo=")</f>
        <v>#VALUE!</v>
      </c>
      <c r="L13" t="e">
        <f>AND('2015'!#REF!,"AAAAAG5/9Qs=")</f>
        <v>#REF!</v>
      </c>
      <c r="M13" t="e">
        <f>AND('2015'!AU63,"AAAAAG5/9Qw=")</f>
        <v>#VALUE!</v>
      </c>
      <c r="N13" t="e">
        <f>AND('2015'!AV63,"AAAAAG5/9Q0=")</f>
        <v>#VALUE!</v>
      </c>
      <c r="O13" t="e">
        <f>AND('2015'!AW63,"AAAAAG5/9Q4=")</f>
        <v>#VALUE!</v>
      </c>
      <c r="P13" t="e">
        <f>AND('2015'!AX63,"AAAAAG5/9Q8=")</f>
        <v>#VALUE!</v>
      </c>
      <c r="Q13" t="e">
        <f>AND('2015'!AY63,"AAAAAG5/9RA=")</f>
        <v>#VALUE!</v>
      </c>
      <c r="R13" t="e">
        <f>AND('2015'!AZ63,"AAAAAG5/9RE=")</f>
        <v>#VALUE!</v>
      </c>
      <c r="S13" t="e">
        <f>AND('2015'!BA63,"AAAAAG5/9RI=")</f>
        <v>#VALUE!</v>
      </c>
      <c r="T13" t="e">
        <f>AND('2015'!BB63,"AAAAAG5/9RM=")</f>
        <v>#VALUE!</v>
      </c>
      <c r="U13" t="e">
        <f>AND('2015'!BC63,"AAAAAG5/9RQ=")</f>
        <v>#VALUE!</v>
      </c>
      <c r="V13" t="e">
        <f>AND('2015'!BD63,"AAAAAG5/9RU=")</f>
        <v>#VALUE!</v>
      </c>
      <c r="W13" t="e">
        <f>AND('2015'!BE63,"AAAAAG5/9RY=")</f>
        <v>#VALUE!</v>
      </c>
      <c r="X13" t="e">
        <f>AND('2015'!BF63,"AAAAAG5/9Rc=")</f>
        <v>#VALUE!</v>
      </c>
      <c r="Y13" t="e">
        <f>AND('2015'!BG63,"AAAAAG5/9Rg=")</f>
        <v>#VALUE!</v>
      </c>
      <c r="Z13" t="e">
        <f>AND('2015'!BH63,"AAAAAG5/9Rk=")</f>
        <v>#VALUE!</v>
      </c>
      <c r="AA13" t="e">
        <f>AND('2015'!BI63,"AAAAAG5/9Ro=")</f>
        <v>#VALUE!</v>
      </c>
      <c r="AB13" t="e">
        <f>AND('2015'!#REF!,"AAAAAG5/9Rs=")</f>
        <v>#REF!</v>
      </c>
      <c r="AC13" t="e">
        <f>AND('2015'!BJ63,"AAAAAG5/9Rw=")</f>
        <v>#VALUE!</v>
      </c>
      <c r="AD13" t="e">
        <f>AND('2015'!BK63,"AAAAAG5/9R0=")</f>
        <v>#VALUE!</v>
      </c>
      <c r="AE13" t="e">
        <f>AND('2015'!BL63,"AAAAAG5/9R4=")</f>
        <v>#VALUE!</v>
      </c>
      <c r="AF13" t="e">
        <f>AND('2015'!BM63,"AAAAAG5/9R8=")</f>
        <v>#VALUE!</v>
      </c>
      <c r="AG13" t="e">
        <f>AND('2015'!BY63,"AAAAAG5/9SA=")</f>
        <v>#VALUE!</v>
      </c>
      <c r="AH13">
        <f>IF('2015'!64:64,"AAAAAG5/9SE=",0)</f>
        <v>0</v>
      </c>
      <c r="AI13" t="e">
        <f>AND('2015'!A64,"AAAAAG5/9SI=")</f>
        <v>#VALUE!</v>
      </c>
      <c r="AJ13" t="e">
        <f>AND('2015'!B64,"AAAAAG5/9SM=")</f>
        <v>#VALUE!</v>
      </c>
      <c r="AK13" t="e">
        <f>AND('2015'!C64,"AAAAAG5/9SQ=")</f>
        <v>#VALUE!</v>
      </c>
      <c r="AL13" t="e">
        <f>AND('2015'!D64,"AAAAAG5/9SU=")</f>
        <v>#VALUE!</v>
      </c>
      <c r="AM13" t="e">
        <f>AND('2015'!E64,"AAAAAG5/9SY=")</f>
        <v>#VALUE!</v>
      </c>
      <c r="AN13" t="e">
        <f>AND('2015'!F64,"AAAAAG5/9Sc=")</f>
        <v>#VALUE!</v>
      </c>
      <c r="AO13" t="e">
        <f>AND('2015'!G64,"AAAAAG5/9Sg=")</f>
        <v>#VALUE!</v>
      </c>
      <c r="AP13" t="e">
        <f>AND('2015'!H64,"AAAAAG5/9Sk=")</f>
        <v>#VALUE!</v>
      </c>
      <c r="AQ13" t="e">
        <f>AND('2015'!I64,"AAAAAG5/9So=")</f>
        <v>#VALUE!</v>
      </c>
      <c r="AR13" t="e">
        <f>AND('2015'!J64,"AAAAAG5/9Ss=")</f>
        <v>#VALUE!</v>
      </c>
      <c r="AS13" t="e">
        <f>AND('2015'!K64,"AAAAAG5/9Sw=")</f>
        <v>#VALUE!</v>
      </c>
      <c r="AT13" t="e">
        <f>AND('2015'!L64,"AAAAAG5/9S0=")</f>
        <v>#VALUE!</v>
      </c>
      <c r="AU13" t="e">
        <f>AND('2015'!M64,"AAAAAG5/9S4=")</f>
        <v>#VALUE!</v>
      </c>
      <c r="AV13" t="e">
        <f>AND('2015'!N64,"AAAAAG5/9S8=")</f>
        <v>#VALUE!</v>
      </c>
      <c r="AW13" t="e">
        <f>AND('2015'!O64,"AAAAAG5/9TA=")</f>
        <v>#VALUE!</v>
      </c>
      <c r="AX13" t="e">
        <f>AND('2015'!P64,"AAAAAG5/9TE=")</f>
        <v>#VALUE!</v>
      </c>
      <c r="AY13" t="e">
        <f>AND('2015'!Q64,"AAAAAG5/9TI=")</f>
        <v>#VALUE!</v>
      </c>
      <c r="AZ13" t="e">
        <f>AND('2015'!R64,"AAAAAG5/9TM=")</f>
        <v>#VALUE!</v>
      </c>
      <c r="BA13" t="e">
        <f>AND('2015'!S64,"AAAAAG5/9TQ=")</f>
        <v>#VALUE!</v>
      </c>
      <c r="BB13" t="e">
        <f>AND('2015'!T64,"AAAAAG5/9TU=")</f>
        <v>#VALUE!</v>
      </c>
      <c r="BC13" t="e">
        <f>AND('2015'!U64,"AAAAAG5/9TY=")</f>
        <v>#VALUE!</v>
      </c>
      <c r="BD13" t="e">
        <f>AND('2015'!V64,"AAAAAG5/9Tc=")</f>
        <v>#VALUE!</v>
      </c>
      <c r="BE13" t="e">
        <f>AND('2015'!W64,"AAAAAG5/9Tg=")</f>
        <v>#VALUE!</v>
      </c>
      <c r="BF13" t="e">
        <f>AND('2015'!X64,"AAAAAG5/9Tk=")</f>
        <v>#VALUE!</v>
      </c>
      <c r="BG13" t="e">
        <f>AND('2015'!Y64,"AAAAAG5/9To=")</f>
        <v>#VALUE!</v>
      </c>
      <c r="BH13" t="e">
        <f>AND('2015'!Z64,"AAAAAG5/9Ts=")</f>
        <v>#VALUE!</v>
      </c>
      <c r="BI13" t="e">
        <f>AND('2015'!AA64,"AAAAAG5/9Tw=")</f>
        <v>#VALUE!</v>
      </c>
      <c r="BJ13" t="e">
        <f>AND('2015'!AB64,"AAAAAG5/9T0=")</f>
        <v>#VALUE!</v>
      </c>
      <c r="BK13" t="e">
        <f>AND('2015'!AC64,"AAAAAG5/9T4=")</f>
        <v>#VALUE!</v>
      </c>
      <c r="BL13" t="e">
        <f>AND('2015'!AD64,"AAAAAG5/9T8=")</f>
        <v>#VALUE!</v>
      </c>
      <c r="BM13" t="e">
        <f>AND('2015'!AE64,"AAAAAG5/9UA=")</f>
        <v>#VALUE!</v>
      </c>
      <c r="BN13" t="e">
        <f>AND('2015'!AF64,"AAAAAG5/9UE=")</f>
        <v>#VALUE!</v>
      </c>
      <c r="BO13" t="e">
        <f>AND('2015'!AG64,"AAAAAG5/9UI=")</f>
        <v>#VALUE!</v>
      </c>
      <c r="BP13" t="e">
        <f>AND('2015'!AH64,"AAAAAG5/9UM=")</f>
        <v>#VALUE!</v>
      </c>
      <c r="BQ13" t="e">
        <f>AND('2015'!AI64,"AAAAAG5/9UQ=")</f>
        <v>#VALUE!</v>
      </c>
      <c r="BR13" t="e">
        <f>AND('2015'!AJ64,"AAAAAG5/9UU=")</f>
        <v>#VALUE!</v>
      </c>
      <c r="BS13" t="e">
        <f>AND('2015'!AK64,"AAAAAG5/9UY=")</f>
        <v>#VALUE!</v>
      </c>
      <c r="BT13" t="e">
        <f>AND('2015'!AL64,"AAAAAG5/9Uc=")</f>
        <v>#VALUE!</v>
      </c>
      <c r="BU13" t="e">
        <f>AND('2015'!AM64,"AAAAAG5/9Ug=")</f>
        <v>#VALUE!</v>
      </c>
      <c r="BV13" t="e">
        <f>AND('2015'!AN64,"AAAAAG5/9Uk=")</f>
        <v>#VALUE!</v>
      </c>
      <c r="BW13" t="e">
        <f>AND('2015'!AO64,"AAAAAG5/9Uo=")</f>
        <v>#VALUE!</v>
      </c>
      <c r="BX13" t="e">
        <f>AND('2015'!AP64,"AAAAAG5/9Us=")</f>
        <v>#VALUE!</v>
      </c>
      <c r="BY13" t="e">
        <f>AND('2015'!AQ64,"AAAAAG5/9Uw=")</f>
        <v>#VALUE!</v>
      </c>
      <c r="BZ13" t="e">
        <f>AND('2015'!AR64,"AAAAAG5/9U0=")</f>
        <v>#VALUE!</v>
      </c>
      <c r="CA13" t="e">
        <f>AND('2015'!AS64,"AAAAAG5/9U4=")</f>
        <v>#VALUE!</v>
      </c>
      <c r="CB13" t="e">
        <f>AND('2015'!AT64,"AAAAAG5/9U8=")</f>
        <v>#VALUE!</v>
      </c>
      <c r="CC13" t="e">
        <f>AND('2015'!#REF!,"AAAAAG5/9VA=")</f>
        <v>#REF!</v>
      </c>
      <c r="CD13" t="e">
        <f>AND('2015'!AU64,"AAAAAG5/9VE=")</f>
        <v>#VALUE!</v>
      </c>
      <c r="CE13" t="e">
        <f>AND('2015'!AV64,"AAAAAG5/9VI=")</f>
        <v>#VALUE!</v>
      </c>
      <c r="CF13" t="e">
        <f>AND('2015'!AW64,"AAAAAG5/9VM=")</f>
        <v>#VALUE!</v>
      </c>
      <c r="CG13" t="e">
        <f>AND('2015'!AX64,"AAAAAG5/9VQ=")</f>
        <v>#VALUE!</v>
      </c>
      <c r="CH13" t="e">
        <f>AND('2015'!AY64,"AAAAAG5/9VU=")</f>
        <v>#VALUE!</v>
      </c>
      <c r="CI13" t="e">
        <f>AND('2015'!AZ64,"AAAAAG5/9VY=")</f>
        <v>#VALUE!</v>
      </c>
      <c r="CJ13" t="e">
        <f>AND('2015'!BA64,"AAAAAG5/9Vc=")</f>
        <v>#VALUE!</v>
      </c>
      <c r="CK13" t="e">
        <f>AND('2015'!BB64,"AAAAAG5/9Vg=")</f>
        <v>#VALUE!</v>
      </c>
      <c r="CL13" t="e">
        <f>AND('2015'!BC64,"AAAAAG5/9Vk=")</f>
        <v>#VALUE!</v>
      </c>
      <c r="CM13" t="e">
        <f>AND('2015'!BD64,"AAAAAG5/9Vo=")</f>
        <v>#VALUE!</v>
      </c>
      <c r="CN13" t="e">
        <f>AND('2015'!BE64,"AAAAAG5/9Vs=")</f>
        <v>#VALUE!</v>
      </c>
      <c r="CO13" t="e">
        <f>AND('2015'!BF64,"AAAAAG5/9Vw=")</f>
        <v>#VALUE!</v>
      </c>
      <c r="CP13" t="e">
        <f>AND('2015'!BG64,"AAAAAG5/9V0=")</f>
        <v>#VALUE!</v>
      </c>
      <c r="CQ13" t="e">
        <f>AND('2015'!BH64,"AAAAAG5/9V4=")</f>
        <v>#VALUE!</v>
      </c>
      <c r="CR13" t="e">
        <f>AND('2015'!BI64,"AAAAAG5/9V8=")</f>
        <v>#VALUE!</v>
      </c>
      <c r="CS13" t="e">
        <f>AND('2015'!#REF!,"AAAAAG5/9WA=")</f>
        <v>#REF!</v>
      </c>
      <c r="CT13" t="e">
        <f>AND('2015'!BJ64,"AAAAAG5/9WE=")</f>
        <v>#VALUE!</v>
      </c>
      <c r="CU13" t="e">
        <f>AND('2015'!BK64,"AAAAAG5/9WI=")</f>
        <v>#VALUE!</v>
      </c>
      <c r="CV13" t="e">
        <f>AND('2015'!BL64,"AAAAAG5/9WM=")</f>
        <v>#VALUE!</v>
      </c>
      <c r="CW13" t="e">
        <f>AND('2015'!BM64,"AAAAAG5/9WQ=")</f>
        <v>#VALUE!</v>
      </c>
      <c r="CX13" t="e">
        <f>AND('2015'!BY64,"AAAAAG5/9WU=")</f>
        <v>#VALUE!</v>
      </c>
      <c r="CY13">
        <f>IF('2015'!65:65,"AAAAAG5/9WY=",0)</f>
        <v>0</v>
      </c>
      <c r="CZ13" t="e">
        <f>AND('2015'!A65,"AAAAAG5/9Wc=")</f>
        <v>#VALUE!</v>
      </c>
      <c r="DA13" t="e">
        <f>AND('2015'!B65,"AAAAAG5/9Wg=")</f>
        <v>#VALUE!</v>
      </c>
      <c r="DB13" t="e">
        <f>AND('2015'!C65,"AAAAAG5/9Wk=")</f>
        <v>#VALUE!</v>
      </c>
      <c r="DC13" t="e">
        <f>AND('2015'!D65,"AAAAAG5/9Wo=")</f>
        <v>#VALUE!</v>
      </c>
      <c r="DD13" t="e">
        <f>AND('2015'!E65,"AAAAAG5/9Ws=")</f>
        <v>#VALUE!</v>
      </c>
      <c r="DE13" t="e">
        <f>AND('2015'!F65,"AAAAAG5/9Ww=")</f>
        <v>#VALUE!</v>
      </c>
      <c r="DF13" t="e">
        <f>AND('2015'!G65,"AAAAAG5/9W0=")</f>
        <v>#VALUE!</v>
      </c>
      <c r="DG13" t="e">
        <f>AND('2015'!H65,"AAAAAG5/9W4=")</f>
        <v>#VALUE!</v>
      </c>
      <c r="DH13" t="e">
        <f>AND('2015'!I65,"AAAAAG5/9W8=")</f>
        <v>#VALUE!</v>
      </c>
      <c r="DI13" t="e">
        <f>AND('2015'!J65,"AAAAAG5/9XA=")</f>
        <v>#VALUE!</v>
      </c>
      <c r="DJ13" t="e">
        <f>AND('2015'!K65,"AAAAAG5/9XE=")</f>
        <v>#VALUE!</v>
      </c>
      <c r="DK13" t="e">
        <f>AND('2015'!L65,"AAAAAG5/9XI=")</f>
        <v>#VALUE!</v>
      </c>
      <c r="DL13" t="e">
        <f>AND('2015'!M65,"AAAAAG5/9XM=")</f>
        <v>#VALUE!</v>
      </c>
      <c r="DM13" t="e">
        <f>AND('2015'!N65,"AAAAAG5/9XQ=")</f>
        <v>#VALUE!</v>
      </c>
      <c r="DN13" t="e">
        <f>AND('2015'!O65,"AAAAAG5/9XU=")</f>
        <v>#VALUE!</v>
      </c>
      <c r="DO13" t="e">
        <f>AND('2015'!P65,"AAAAAG5/9XY=")</f>
        <v>#VALUE!</v>
      </c>
      <c r="DP13" t="e">
        <f>AND('2015'!Q65,"AAAAAG5/9Xc=")</f>
        <v>#VALUE!</v>
      </c>
      <c r="DQ13" t="e">
        <f>AND('2015'!R65,"AAAAAG5/9Xg=")</f>
        <v>#VALUE!</v>
      </c>
      <c r="DR13" t="e">
        <f>AND('2015'!S65,"AAAAAG5/9Xk=")</f>
        <v>#VALUE!</v>
      </c>
      <c r="DS13" t="e">
        <f>AND('2015'!T65,"AAAAAG5/9Xo=")</f>
        <v>#VALUE!</v>
      </c>
      <c r="DT13" t="e">
        <f>AND('2015'!U65,"AAAAAG5/9Xs=")</f>
        <v>#VALUE!</v>
      </c>
      <c r="DU13" t="e">
        <f>AND('2015'!V65,"AAAAAG5/9Xw=")</f>
        <v>#VALUE!</v>
      </c>
      <c r="DV13" t="e">
        <f>AND('2015'!W65,"AAAAAG5/9X0=")</f>
        <v>#VALUE!</v>
      </c>
      <c r="DW13" t="e">
        <f>AND('2015'!X65,"AAAAAG5/9X4=")</f>
        <v>#VALUE!</v>
      </c>
      <c r="DX13" t="e">
        <f>AND('2015'!Y65,"AAAAAG5/9X8=")</f>
        <v>#VALUE!</v>
      </c>
      <c r="DY13" t="e">
        <f>AND('2015'!Z65,"AAAAAG5/9YA=")</f>
        <v>#VALUE!</v>
      </c>
      <c r="DZ13" t="e">
        <f>AND('2015'!AA65,"AAAAAG5/9YE=")</f>
        <v>#VALUE!</v>
      </c>
      <c r="EA13" t="e">
        <f>AND('2015'!AB65,"AAAAAG5/9YI=")</f>
        <v>#VALUE!</v>
      </c>
      <c r="EB13" t="e">
        <f>AND('2015'!AC65,"AAAAAG5/9YM=")</f>
        <v>#VALUE!</v>
      </c>
      <c r="EC13" t="e">
        <f>AND('2015'!AD65,"AAAAAG5/9YQ=")</f>
        <v>#VALUE!</v>
      </c>
      <c r="ED13" t="e">
        <f>AND('2015'!AE65,"AAAAAG5/9YU=")</f>
        <v>#VALUE!</v>
      </c>
      <c r="EE13" t="e">
        <f>AND('2015'!AF65,"AAAAAG5/9YY=")</f>
        <v>#VALUE!</v>
      </c>
      <c r="EF13" t="e">
        <f>AND('2015'!AG65,"AAAAAG5/9Yc=")</f>
        <v>#VALUE!</v>
      </c>
      <c r="EG13" t="e">
        <f>AND('2015'!AH65,"AAAAAG5/9Yg=")</f>
        <v>#VALUE!</v>
      </c>
      <c r="EH13" t="e">
        <f>AND('2015'!AI65,"AAAAAG5/9Yk=")</f>
        <v>#VALUE!</v>
      </c>
      <c r="EI13" t="e">
        <f>AND('2015'!AJ65,"AAAAAG5/9Yo=")</f>
        <v>#VALUE!</v>
      </c>
      <c r="EJ13" t="e">
        <f>AND('2015'!AK65,"AAAAAG5/9Ys=")</f>
        <v>#VALUE!</v>
      </c>
      <c r="EK13" t="e">
        <f>AND('2015'!AL65,"AAAAAG5/9Yw=")</f>
        <v>#VALUE!</v>
      </c>
      <c r="EL13" t="e">
        <f>AND('2015'!AM65,"AAAAAG5/9Y0=")</f>
        <v>#VALUE!</v>
      </c>
      <c r="EM13" t="e">
        <f>AND('2015'!AN65,"AAAAAG5/9Y4=")</f>
        <v>#VALUE!</v>
      </c>
      <c r="EN13" t="e">
        <f>AND('2015'!AO65,"AAAAAG5/9Y8=")</f>
        <v>#VALUE!</v>
      </c>
      <c r="EO13" t="e">
        <f>AND('2015'!AP65,"AAAAAG5/9ZA=")</f>
        <v>#VALUE!</v>
      </c>
      <c r="EP13" t="e">
        <f>AND('2015'!AQ65,"AAAAAG5/9ZE=")</f>
        <v>#VALUE!</v>
      </c>
      <c r="EQ13" t="e">
        <f>AND('2015'!AR65,"AAAAAG5/9ZI=")</f>
        <v>#VALUE!</v>
      </c>
      <c r="ER13" t="e">
        <f>AND('2015'!AS65,"AAAAAG5/9ZM=")</f>
        <v>#VALUE!</v>
      </c>
      <c r="ES13" t="e">
        <f>AND('2015'!AT65,"AAAAAG5/9ZQ=")</f>
        <v>#VALUE!</v>
      </c>
      <c r="ET13" t="e">
        <f>AND('2015'!#REF!,"AAAAAG5/9ZU=")</f>
        <v>#REF!</v>
      </c>
      <c r="EU13" t="e">
        <f>AND('2015'!AU65,"AAAAAG5/9ZY=")</f>
        <v>#VALUE!</v>
      </c>
      <c r="EV13" t="e">
        <f>AND('2015'!AV65,"AAAAAG5/9Zc=")</f>
        <v>#VALUE!</v>
      </c>
      <c r="EW13" t="e">
        <f>AND('2015'!AW65,"AAAAAG5/9Zg=")</f>
        <v>#VALUE!</v>
      </c>
      <c r="EX13" t="e">
        <f>AND('2015'!AX65,"AAAAAG5/9Zk=")</f>
        <v>#VALUE!</v>
      </c>
      <c r="EY13" t="e">
        <f>AND('2015'!AY65,"AAAAAG5/9Zo=")</f>
        <v>#VALUE!</v>
      </c>
      <c r="EZ13" t="e">
        <f>AND('2015'!AZ65,"AAAAAG5/9Zs=")</f>
        <v>#VALUE!</v>
      </c>
      <c r="FA13" t="e">
        <f>AND('2015'!BA65,"AAAAAG5/9Zw=")</f>
        <v>#VALUE!</v>
      </c>
      <c r="FB13" t="e">
        <f>AND('2015'!BB65,"AAAAAG5/9Z0=")</f>
        <v>#VALUE!</v>
      </c>
      <c r="FC13" t="e">
        <f>AND('2015'!BC65,"AAAAAG5/9Z4=")</f>
        <v>#VALUE!</v>
      </c>
      <c r="FD13" t="e">
        <f>AND('2015'!BD65,"AAAAAG5/9Z8=")</f>
        <v>#VALUE!</v>
      </c>
      <c r="FE13" t="e">
        <f>AND('2015'!BE65,"AAAAAG5/9aA=")</f>
        <v>#VALUE!</v>
      </c>
      <c r="FF13" t="e">
        <f>AND('2015'!BF65,"AAAAAG5/9aE=")</f>
        <v>#VALUE!</v>
      </c>
      <c r="FG13" t="e">
        <f>AND('2015'!BG65,"AAAAAG5/9aI=")</f>
        <v>#VALUE!</v>
      </c>
      <c r="FH13" t="e">
        <f>AND('2015'!BH65,"AAAAAG5/9aM=")</f>
        <v>#VALUE!</v>
      </c>
      <c r="FI13" t="e">
        <f>AND('2015'!BI65,"AAAAAG5/9aQ=")</f>
        <v>#VALUE!</v>
      </c>
      <c r="FJ13" t="e">
        <f>AND('2015'!#REF!,"AAAAAG5/9aU=")</f>
        <v>#REF!</v>
      </c>
      <c r="FK13" t="e">
        <f>AND('2015'!BJ65,"AAAAAG5/9aY=")</f>
        <v>#VALUE!</v>
      </c>
      <c r="FL13" t="e">
        <f>AND('2015'!BK65,"AAAAAG5/9ac=")</f>
        <v>#VALUE!</v>
      </c>
      <c r="FM13" t="e">
        <f>AND('2015'!BL65,"AAAAAG5/9ag=")</f>
        <v>#VALUE!</v>
      </c>
      <c r="FN13" t="e">
        <f>AND('2015'!BM65,"AAAAAG5/9ak=")</f>
        <v>#VALUE!</v>
      </c>
      <c r="FO13" t="e">
        <f>AND('2015'!BY65,"AAAAAG5/9ao=")</f>
        <v>#VALUE!</v>
      </c>
      <c r="FP13">
        <f>IF('2015'!66:66,"AAAAAG5/9as=",0)</f>
        <v>0</v>
      </c>
      <c r="FQ13" t="e">
        <f>AND('2015'!A66,"AAAAAG5/9aw=")</f>
        <v>#VALUE!</v>
      </c>
      <c r="FR13" t="e">
        <f>AND('2015'!B66,"AAAAAG5/9a0=")</f>
        <v>#VALUE!</v>
      </c>
      <c r="FS13" t="e">
        <f>AND('2015'!C66,"AAAAAG5/9a4=")</f>
        <v>#VALUE!</v>
      </c>
      <c r="FT13" t="e">
        <f>AND('2015'!D66,"AAAAAG5/9a8=")</f>
        <v>#VALUE!</v>
      </c>
      <c r="FU13" t="e">
        <f>AND('2015'!E66,"AAAAAG5/9bA=")</f>
        <v>#VALUE!</v>
      </c>
      <c r="FV13" t="e">
        <f>AND('2015'!F66,"AAAAAG5/9bE=")</f>
        <v>#VALUE!</v>
      </c>
      <c r="FW13" t="e">
        <f>AND('2015'!G66,"AAAAAG5/9bI=")</f>
        <v>#VALUE!</v>
      </c>
      <c r="FX13" t="e">
        <f>AND('2015'!H66,"AAAAAG5/9bM=")</f>
        <v>#VALUE!</v>
      </c>
      <c r="FY13" t="e">
        <f>AND('2015'!I66,"AAAAAG5/9bQ=")</f>
        <v>#VALUE!</v>
      </c>
      <c r="FZ13" t="e">
        <f>AND('2015'!J66,"AAAAAG5/9bU=")</f>
        <v>#VALUE!</v>
      </c>
      <c r="GA13" t="e">
        <f>AND('2015'!K66,"AAAAAG5/9bY=")</f>
        <v>#VALUE!</v>
      </c>
      <c r="GB13" t="e">
        <f>AND('2015'!L66,"AAAAAG5/9bc=")</f>
        <v>#VALUE!</v>
      </c>
      <c r="GC13" t="e">
        <f>AND('2015'!M66,"AAAAAG5/9bg=")</f>
        <v>#VALUE!</v>
      </c>
      <c r="GD13" t="e">
        <f>AND('2015'!N66,"AAAAAG5/9bk=")</f>
        <v>#VALUE!</v>
      </c>
      <c r="GE13" t="e">
        <f>AND('2015'!O66,"AAAAAG5/9bo=")</f>
        <v>#VALUE!</v>
      </c>
      <c r="GF13" t="e">
        <f>AND('2015'!P66,"AAAAAG5/9bs=")</f>
        <v>#VALUE!</v>
      </c>
      <c r="GG13" t="e">
        <f>AND('2015'!Q66,"AAAAAG5/9bw=")</f>
        <v>#VALUE!</v>
      </c>
      <c r="GH13" t="e">
        <f>AND('2015'!R66,"AAAAAG5/9b0=")</f>
        <v>#VALUE!</v>
      </c>
      <c r="GI13" t="e">
        <f>AND('2015'!S66,"AAAAAG5/9b4=")</f>
        <v>#VALUE!</v>
      </c>
      <c r="GJ13" t="e">
        <f>AND('2015'!T66,"AAAAAG5/9b8=")</f>
        <v>#VALUE!</v>
      </c>
      <c r="GK13" t="e">
        <f>AND('2015'!U66,"AAAAAG5/9cA=")</f>
        <v>#VALUE!</v>
      </c>
      <c r="GL13" t="e">
        <f>AND('2015'!V66,"AAAAAG5/9cE=")</f>
        <v>#VALUE!</v>
      </c>
      <c r="GM13" t="e">
        <f>AND('2015'!W66,"AAAAAG5/9cI=")</f>
        <v>#VALUE!</v>
      </c>
      <c r="GN13" t="e">
        <f>AND('2015'!X66,"AAAAAG5/9cM=")</f>
        <v>#VALUE!</v>
      </c>
      <c r="GO13" t="e">
        <f>AND('2015'!Y66,"AAAAAG5/9cQ=")</f>
        <v>#VALUE!</v>
      </c>
      <c r="GP13" t="e">
        <f>AND('2015'!Z66,"AAAAAG5/9cU=")</f>
        <v>#VALUE!</v>
      </c>
      <c r="GQ13" t="e">
        <f>AND('2015'!AA66,"AAAAAG5/9cY=")</f>
        <v>#VALUE!</v>
      </c>
      <c r="GR13" t="e">
        <f>AND('2015'!AB66,"AAAAAG5/9cc=")</f>
        <v>#VALUE!</v>
      </c>
      <c r="GS13" t="e">
        <f>AND('2015'!AC66,"AAAAAG5/9cg=")</f>
        <v>#VALUE!</v>
      </c>
      <c r="GT13" t="e">
        <f>AND('2015'!AD66,"AAAAAG5/9ck=")</f>
        <v>#VALUE!</v>
      </c>
      <c r="GU13" t="e">
        <f>AND('2015'!AE66,"AAAAAG5/9co=")</f>
        <v>#VALUE!</v>
      </c>
      <c r="GV13" t="e">
        <f>AND('2015'!AF66,"AAAAAG5/9cs=")</f>
        <v>#VALUE!</v>
      </c>
      <c r="GW13" t="e">
        <f>AND('2015'!AG66,"AAAAAG5/9cw=")</f>
        <v>#VALUE!</v>
      </c>
      <c r="GX13" t="e">
        <f>AND('2015'!AH66,"AAAAAG5/9c0=")</f>
        <v>#VALUE!</v>
      </c>
      <c r="GY13" t="e">
        <f>AND('2015'!AI66,"AAAAAG5/9c4=")</f>
        <v>#VALUE!</v>
      </c>
      <c r="GZ13" t="e">
        <f>AND('2015'!AJ66,"AAAAAG5/9c8=")</f>
        <v>#VALUE!</v>
      </c>
      <c r="HA13" t="e">
        <f>AND('2015'!AK66,"AAAAAG5/9dA=")</f>
        <v>#VALUE!</v>
      </c>
      <c r="HB13" t="e">
        <f>AND('2015'!AL66,"AAAAAG5/9dE=")</f>
        <v>#VALUE!</v>
      </c>
      <c r="HC13" t="e">
        <f>AND('2015'!AM66,"AAAAAG5/9dI=")</f>
        <v>#VALUE!</v>
      </c>
      <c r="HD13" t="e">
        <f>AND('2015'!AN66,"AAAAAG5/9dM=")</f>
        <v>#VALUE!</v>
      </c>
      <c r="HE13" t="e">
        <f>AND('2015'!AO66,"AAAAAG5/9dQ=")</f>
        <v>#VALUE!</v>
      </c>
      <c r="HF13" t="e">
        <f>AND('2015'!AP66,"AAAAAG5/9dU=")</f>
        <v>#VALUE!</v>
      </c>
      <c r="HG13" t="e">
        <f>AND('2015'!AQ66,"AAAAAG5/9dY=")</f>
        <v>#VALUE!</v>
      </c>
      <c r="HH13" t="e">
        <f>AND('2015'!AR66,"AAAAAG5/9dc=")</f>
        <v>#VALUE!</v>
      </c>
      <c r="HI13" t="e">
        <f>AND('2015'!AS66,"AAAAAG5/9dg=")</f>
        <v>#VALUE!</v>
      </c>
      <c r="HJ13" t="e">
        <f>AND('2015'!AT66,"AAAAAG5/9dk=")</f>
        <v>#VALUE!</v>
      </c>
      <c r="HK13" t="e">
        <f>AND('2015'!#REF!,"AAAAAG5/9do=")</f>
        <v>#REF!</v>
      </c>
      <c r="HL13" t="e">
        <f>AND('2015'!AU66,"AAAAAG5/9ds=")</f>
        <v>#VALUE!</v>
      </c>
      <c r="HM13" t="e">
        <f>AND('2015'!AV66,"AAAAAG5/9dw=")</f>
        <v>#VALUE!</v>
      </c>
      <c r="HN13" t="e">
        <f>AND('2015'!AW66,"AAAAAG5/9d0=")</f>
        <v>#VALUE!</v>
      </c>
      <c r="HO13" t="e">
        <f>AND('2015'!AX66,"AAAAAG5/9d4=")</f>
        <v>#VALUE!</v>
      </c>
      <c r="HP13" t="e">
        <f>AND('2015'!AY66,"AAAAAG5/9d8=")</f>
        <v>#VALUE!</v>
      </c>
      <c r="HQ13" t="e">
        <f>AND('2015'!AZ66,"AAAAAG5/9eA=")</f>
        <v>#VALUE!</v>
      </c>
      <c r="HR13" t="e">
        <f>AND('2015'!BA66,"AAAAAG5/9eE=")</f>
        <v>#VALUE!</v>
      </c>
      <c r="HS13" t="e">
        <f>AND('2015'!BB66,"AAAAAG5/9eI=")</f>
        <v>#VALUE!</v>
      </c>
      <c r="HT13" t="e">
        <f>AND('2015'!BC66,"AAAAAG5/9eM=")</f>
        <v>#VALUE!</v>
      </c>
      <c r="HU13" t="e">
        <f>AND('2015'!BD66,"AAAAAG5/9eQ=")</f>
        <v>#VALUE!</v>
      </c>
      <c r="HV13" t="e">
        <f>AND('2015'!BE66,"AAAAAG5/9eU=")</f>
        <v>#VALUE!</v>
      </c>
      <c r="HW13" t="e">
        <f>AND('2015'!BF66,"AAAAAG5/9eY=")</f>
        <v>#VALUE!</v>
      </c>
      <c r="HX13" t="e">
        <f>AND('2015'!BG66,"AAAAAG5/9ec=")</f>
        <v>#VALUE!</v>
      </c>
      <c r="HY13" t="e">
        <f>AND('2015'!BH66,"AAAAAG5/9eg=")</f>
        <v>#VALUE!</v>
      </c>
      <c r="HZ13" t="e">
        <f>AND('2015'!BI66,"AAAAAG5/9ek=")</f>
        <v>#VALUE!</v>
      </c>
      <c r="IA13" t="e">
        <f>AND('2015'!#REF!,"AAAAAG5/9eo=")</f>
        <v>#REF!</v>
      </c>
      <c r="IB13" t="e">
        <f>AND('2015'!BJ66,"AAAAAG5/9es=")</f>
        <v>#VALUE!</v>
      </c>
      <c r="IC13" t="e">
        <f>AND('2015'!BK66,"AAAAAG5/9ew=")</f>
        <v>#VALUE!</v>
      </c>
      <c r="ID13" t="e">
        <f>AND('2015'!BL66,"AAAAAG5/9e0=")</f>
        <v>#VALUE!</v>
      </c>
      <c r="IE13" t="e">
        <f>AND('2015'!BM66,"AAAAAG5/9e4=")</f>
        <v>#VALUE!</v>
      </c>
      <c r="IF13" t="e">
        <f>AND('2015'!BY66,"AAAAAG5/9e8=")</f>
        <v>#VALUE!</v>
      </c>
      <c r="IG13">
        <f>IF('2015'!67:67,"AAAAAG5/9fA=",0)</f>
        <v>0</v>
      </c>
      <c r="IH13" t="e">
        <f>AND('2015'!A67,"AAAAAG5/9fE=")</f>
        <v>#VALUE!</v>
      </c>
      <c r="II13" t="e">
        <f>AND('2015'!B67,"AAAAAG5/9fI=")</f>
        <v>#VALUE!</v>
      </c>
      <c r="IJ13" t="e">
        <f>AND('2015'!C67,"AAAAAG5/9fM=")</f>
        <v>#VALUE!</v>
      </c>
      <c r="IK13" t="e">
        <f>AND('2015'!D67,"AAAAAG5/9fQ=")</f>
        <v>#VALUE!</v>
      </c>
      <c r="IL13" t="e">
        <f>AND('2015'!E67,"AAAAAG5/9fU=")</f>
        <v>#VALUE!</v>
      </c>
      <c r="IM13" t="e">
        <f>AND('2015'!F67,"AAAAAG5/9fY=")</f>
        <v>#VALUE!</v>
      </c>
      <c r="IN13" t="e">
        <f>AND('2015'!G67,"AAAAAG5/9fc=")</f>
        <v>#VALUE!</v>
      </c>
      <c r="IO13" t="e">
        <f>AND('2015'!H67,"AAAAAG5/9fg=")</f>
        <v>#VALUE!</v>
      </c>
      <c r="IP13" t="e">
        <f>AND('2015'!I67,"AAAAAG5/9fk=")</f>
        <v>#VALUE!</v>
      </c>
      <c r="IQ13" t="e">
        <f>AND('2015'!J67,"AAAAAG5/9fo=")</f>
        <v>#VALUE!</v>
      </c>
      <c r="IR13" t="e">
        <f>AND('2015'!K67,"AAAAAG5/9fs=")</f>
        <v>#VALUE!</v>
      </c>
      <c r="IS13" t="e">
        <f>AND('2015'!L67,"AAAAAG5/9fw=")</f>
        <v>#VALUE!</v>
      </c>
      <c r="IT13" t="e">
        <f>AND('2015'!M67,"AAAAAG5/9f0=")</f>
        <v>#VALUE!</v>
      </c>
      <c r="IU13" t="e">
        <f>AND('2015'!N67,"AAAAAG5/9f4=")</f>
        <v>#VALUE!</v>
      </c>
      <c r="IV13" t="e">
        <f>AND('2015'!O67,"AAAAAG5/9f8=")</f>
        <v>#VALUE!</v>
      </c>
    </row>
    <row r="14" spans="1:256" x14ac:dyDescent="0.25">
      <c r="A14" t="e">
        <f>AND('2015'!P67,"AAAAAGFvLwA=")</f>
        <v>#VALUE!</v>
      </c>
      <c r="B14" t="e">
        <f>AND('2015'!Q67,"AAAAAGFvLwE=")</f>
        <v>#VALUE!</v>
      </c>
      <c r="C14" t="e">
        <f>AND('2015'!R67,"AAAAAGFvLwI=")</f>
        <v>#VALUE!</v>
      </c>
      <c r="D14" t="e">
        <f>AND('2015'!S67,"AAAAAGFvLwM=")</f>
        <v>#VALUE!</v>
      </c>
      <c r="E14" t="e">
        <f>AND('2015'!T67,"AAAAAGFvLwQ=")</f>
        <v>#VALUE!</v>
      </c>
      <c r="F14" t="e">
        <f>AND('2015'!U67,"AAAAAGFvLwU=")</f>
        <v>#VALUE!</v>
      </c>
      <c r="G14" t="e">
        <f>AND('2015'!V67,"AAAAAGFvLwY=")</f>
        <v>#VALUE!</v>
      </c>
      <c r="H14" t="e">
        <f>AND('2015'!W67,"AAAAAGFvLwc=")</f>
        <v>#VALUE!</v>
      </c>
      <c r="I14" t="e">
        <f>AND('2015'!X67,"AAAAAGFvLwg=")</f>
        <v>#VALUE!</v>
      </c>
      <c r="J14" t="e">
        <f>AND('2015'!Y67,"AAAAAGFvLwk=")</f>
        <v>#VALUE!</v>
      </c>
      <c r="K14" t="e">
        <f>AND('2015'!Z67,"AAAAAGFvLwo=")</f>
        <v>#VALUE!</v>
      </c>
      <c r="L14" t="e">
        <f>AND('2015'!AA67,"AAAAAGFvLws=")</f>
        <v>#VALUE!</v>
      </c>
      <c r="M14" t="e">
        <f>AND('2015'!AB67,"AAAAAGFvLww=")</f>
        <v>#VALUE!</v>
      </c>
      <c r="N14" t="e">
        <f>AND('2015'!AC67,"AAAAAGFvLw0=")</f>
        <v>#VALUE!</v>
      </c>
      <c r="O14" t="e">
        <f>AND('2015'!AD67,"AAAAAGFvLw4=")</f>
        <v>#VALUE!</v>
      </c>
      <c r="P14" t="e">
        <f>AND('2015'!AE67,"AAAAAGFvLw8=")</f>
        <v>#VALUE!</v>
      </c>
      <c r="Q14" t="e">
        <f>AND('2015'!AF67,"AAAAAGFvLxA=")</f>
        <v>#VALUE!</v>
      </c>
      <c r="R14" t="e">
        <f>AND('2015'!AG67,"AAAAAGFvLxE=")</f>
        <v>#VALUE!</v>
      </c>
      <c r="S14" t="e">
        <f>AND('2015'!AH67,"AAAAAGFvLxI=")</f>
        <v>#VALUE!</v>
      </c>
      <c r="T14" t="e">
        <f>AND('2015'!AI67,"AAAAAGFvLxM=")</f>
        <v>#VALUE!</v>
      </c>
      <c r="U14" t="e">
        <f>AND('2015'!AJ67,"AAAAAGFvLxQ=")</f>
        <v>#VALUE!</v>
      </c>
      <c r="V14" t="e">
        <f>AND('2015'!AK67,"AAAAAGFvLxU=")</f>
        <v>#VALUE!</v>
      </c>
      <c r="W14" t="e">
        <f>AND('2015'!AL67,"AAAAAGFvLxY=")</f>
        <v>#VALUE!</v>
      </c>
      <c r="X14" t="e">
        <f>AND('2015'!AM67,"AAAAAGFvLxc=")</f>
        <v>#VALUE!</v>
      </c>
      <c r="Y14" t="e">
        <f>AND('2015'!AN67,"AAAAAGFvLxg=")</f>
        <v>#VALUE!</v>
      </c>
      <c r="Z14" t="e">
        <f>AND('2015'!AO67,"AAAAAGFvLxk=")</f>
        <v>#VALUE!</v>
      </c>
      <c r="AA14" t="e">
        <f>AND('2015'!AP67,"AAAAAGFvLxo=")</f>
        <v>#VALUE!</v>
      </c>
      <c r="AB14" t="e">
        <f>AND('2015'!AQ67,"AAAAAGFvLxs=")</f>
        <v>#VALUE!</v>
      </c>
      <c r="AC14" t="e">
        <f>AND('2015'!AR67,"AAAAAGFvLxw=")</f>
        <v>#VALUE!</v>
      </c>
      <c r="AD14" t="e">
        <f>AND('2015'!AS67,"AAAAAGFvLx0=")</f>
        <v>#VALUE!</v>
      </c>
      <c r="AE14" t="e">
        <f>AND('2015'!AT67,"AAAAAGFvLx4=")</f>
        <v>#VALUE!</v>
      </c>
      <c r="AF14" t="e">
        <f>AND('2015'!#REF!,"AAAAAGFvLx8=")</f>
        <v>#REF!</v>
      </c>
      <c r="AG14" t="e">
        <f>AND('2015'!AU67,"AAAAAGFvLyA=")</f>
        <v>#VALUE!</v>
      </c>
      <c r="AH14" t="e">
        <f>AND('2015'!AV67,"AAAAAGFvLyE=")</f>
        <v>#VALUE!</v>
      </c>
      <c r="AI14" t="e">
        <f>AND('2015'!AW67,"AAAAAGFvLyI=")</f>
        <v>#VALUE!</v>
      </c>
      <c r="AJ14" t="e">
        <f>AND('2015'!AX67,"AAAAAGFvLyM=")</f>
        <v>#VALUE!</v>
      </c>
      <c r="AK14" t="e">
        <f>AND('2015'!AY67,"AAAAAGFvLyQ=")</f>
        <v>#VALUE!</v>
      </c>
      <c r="AL14" t="e">
        <f>AND('2015'!AZ67,"AAAAAGFvLyU=")</f>
        <v>#VALUE!</v>
      </c>
      <c r="AM14" t="e">
        <f>AND('2015'!BA67,"AAAAAGFvLyY=")</f>
        <v>#VALUE!</v>
      </c>
      <c r="AN14" t="e">
        <f>AND('2015'!BB67,"AAAAAGFvLyc=")</f>
        <v>#VALUE!</v>
      </c>
      <c r="AO14" t="e">
        <f>AND('2015'!BC67,"AAAAAGFvLyg=")</f>
        <v>#VALUE!</v>
      </c>
      <c r="AP14" t="e">
        <f>AND('2015'!BD67,"AAAAAGFvLyk=")</f>
        <v>#VALUE!</v>
      </c>
      <c r="AQ14" t="e">
        <f>AND('2015'!BE67,"AAAAAGFvLyo=")</f>
        <v>#VALUE!</v>
      </c>
      <c r="AR14" t="e">
        <f>AND('2015'!BF67,"AAAAAGFvLys=")</f>
        <v>#VALUE!</v>
      </c>
      <c r="AS14" t="e">
        <f>AND('2015'!BG67,"AAAAAGFvLyw=")</f>
        <v>#VALUE!</v>
      </c>
      <c r="AT14" t="e">
        <f>AND('2015'!BH67,"AAAAAGFvLy0=")</f>
        <v>#VALUE!</v>
      </c>
      <c r="AU14" t="e">
        <f>AND('2015'!BI67,"AAAAAGFvLy4=")</f>
        <v>#VALUE!</v>
      </c>
      <c r="AV14" t="e">
        <f>AND('2015'!#REF!,"AAAAAGFvLy8=")</f>
        <v>#REF!</v>
      </c>
      <c r="AW14" t="e">
        <f>AND('2015'!BJ67,"AAAAAGFvLzA=")</f>
        <v>#VALUE!</v>
      </c>
      <c r="AX14" t="e">
        <f>AND('2015'!BK67,"AAAAAGFvLzE=")</f>
        <v>#VALUE!</v>
      </c>
      <c r="AY14" t="e">
        <f>AND('2015'!BL67,"AAAAAGFvLzI=")</f>
        <v>#VALUE!</v>
      </c>
      <c r="AZ14" t="e">
        <f>AND('2015'!BM67,"AAAAAGFvLzM=")</f>
        <v>#VALUE!</v>
      </c>
      <c r="BA14" t="e">
        <f>AND('2015'!BY67,"AAAAAGFvLzQ=")</f>
        <v>#VALUE!</v>
      </c>
      <c r="BB14">
        <f>IF('2015'!68:68,"AAAAAGFvLzU=",0)</f>
        <v>0</v>
      </c>
      <c r="BC14" t="e">
        <f>AND('2015'!A68,"AAAAAGFvLzY=")</f>
        <v>#VALUE!</v>
      </c>
      <c r="BD14" t="e">
        <f>AND('2015'!B68,"AAAAAGFvLzc=")</f>
        <v>#VALUE!</v>
      </c>
      <c r="BE14" t="e">
        <f>AND('2015'!C68,"AAAAAGFvLzg=")</f>
        <v>#VALUE!</v>
      </c>
      <c r="BF14" t="e">
        <f>AND('2015'!D68,"AAAAAGFvLzk=")</f>
        <v>#VALUE!</v>
      </c>
      <c r="BG14" t="e">
        <f>AND('2015'!E68,"AAAAAGFvLzo=")</f>
        <v>#VALUE!</v>
      </c>
      <c r="BH14" t="e">
        <f>AND('2015'!F68,"AAAAAGFvLzs=")</f>
        <v>#VALUE!</v>
      </c>
      <c r="BI14" t="e">
        <f>AND('2015'!G68,"AAAAAGFvLzw=")</f>
        <v>#VALUE!</v>
      </c>
      <c r="BJ14" t="e">
        <f>AND('2015'!H68,"AAAAAGFvLz0=")</f>
        <v>#VALUE!</v>
      </c>
      <c r="BK14" t="e">
        <f>AND('2015'!I68,"AAAAAGFvLz4=")</f>
        <v>#VALUE!</v>
      </c>
      <c r="BL14" t="e">
        <f>AND('2015'!J68,"AAAAAGFvLz8=")</f>
        <v>#VALUE!</v>
      </c>
      <c r="BM14" t="e">
        <f>AND('2015'!K68,"AAAAAGFvL0A=")</f>
        <v>#VALUE!</v>
      </c>
      <c r="BN14" t="e">
        <f>AND('2015'!L68,"AAAAAGFvL0E=")</f>
        <v>#VALUE!</v>
      </c>
      <c r="BO14" t="e">
        <f>AND('2015'!M68,"AAAAAGFvL0I=")</f>
        <v>#VALUE!</v>
      </c>
      <c r="BP14" t="e">
        <f>AND('2015'!N68,"AAAAAGFvL0M=")</f>
        <v>#VALUE!</v>
      </c>
      <c r="BQ14" t="e">
        <f>AND('2015'!O68,"AAAAAGFvL0Q=")</f>
        <v>#VALUE!</v>
      </c>
      <c r="BR14" t="e">
        <f>AND('2015'!P68,"AAAAAGFvL0U=")</f>
        <v>#VALUE!</v>
      </c>
      <c r="BS14" t="e">
        <f>AND('2015'!Q68,"AAAAAGFvL0Y=")</f>
        <v>#VALUE!</v>
      </c>
      <c r="BT14" t="e">
        <f>AND('2015'!R68,"AAAAAGFvL0c=")</f>
        <v>#VALUE!</v>
      </c>
      <c r="BU14" t="e">
        <f>AND('2015'!S68,"AAAAAGFvL0g=")</f>
        <v>#VALUE!</v>
      </c>
      <c r="BV14" t="e">
        <f>AND('2015'!T68,"AAAAAGFvL0k=")</f>
        <v>#VALUE!</v>
      </c>
      <c r="BW14" t="e">
        <f>AND('2015'!U68,"AAAAAGFvL0o=")</f>
        <v>#VALUE!</v>
      </c>
      <c r="BX14" t="e">
        <f>AND('2015'!V68,"AAAAAGFvL0s=")</f>
        <v>#VALUE!</v>
      </c>
      <c r="BY14" t="e">
        <f>AND('2015'!W68,"AAAAAGFvL0w=")</f>
        <v>#VALUE!</v>
      </c>
      <c r="BZ14" t="e">
        <f>AND('2015'!X68,"AAAAAGFvL00=")</f>
        <v>#VALUE!</v>
      </c>
      <c r="CA14" t="e">
        <f>AND('2015'!Y68,"AAAAAGFvL04=")</f>
        <v>#VALUE!</v>
      </c>
      <c r="CB14" t="e">
        <f>AND('2015'!Z68,"AAAAAGFvL08=")</f>
        <v>#VALUE!</v>
      </c>
      <c r="CC14" t="e">
        <f>AND('2015'!AA68,"AAAAAGFvL1A=")</f>
        <v>#VALUE!</v>
      </c>
      <c r="CD14" t="e">
        <f>AND('2015'!AB68,"AAAAAGFvL1E=")</f>
        <v>#VALUE!</v>
      </c>
      <c r="CE14" t="e">
        <f>AND('2015'!AC68,"AAAAAGFvL1I=")</f>
        <v>#VALUE!</v>
      </c>
      <c r="CF14" t="e">
        <f>AND('2015'!AD68,"AAAAAGFvL1M=")</f>
        <v>#VALUE!</v>
      </c>
      <c r="CG14" t="e">
        <f>AND('2015'!AE68,"AAAAAGFvL1Q=")</f>
        <v>#VALUE!</v>
      </c>
      <c r="CH14" t="e">
        <f>AND('2015'!AF68,"AAAAAGFvL1U=")</f>
        <v>#VALUE!</v>
      </c>
      <c r="CI14" t="e">
        <f>AND('2015'!AG68,"AAAAAGFvL1Y=")</f>
        <v>#VALUE!</v>
      </c>
      <c r="CJ14" t="e">
        <f>AND('2015'!AH68,"AAAAAGFvL1c=")</f>
        <v>#VALUE!</v>
      </c>
      <c r="CK14" t="e">
        <f>AND('2015'!AI68,"AAAAAGFvL1g=")</f>
        <v>#VALUE!</v>
      </c>
      <c r="CL14" t="e">
        <f>AND('2015'!AJ68,"AAAAAGFvL1k=")</f>
        <v>#VALUE!</v>
      </c>
      <c r="CM14" t="e">
        <f>AND('2015'!AK68,"AAAAAGFvL1o=")</f>
        <v>#VALUE!</v>
      </c>
      <c r="CN14" t="e">
        <f>AND('2015'!AL68,"AAAAAGFvL1s=")</f>
        <v>#VALUE!</v>
      </c>
      <c r="CO14" t="e">
        <f>AND('2015'!AM68,"AAAAAGFvL1w=")</f>
        <v>#VALUE!</v>
      </c>
      <c r="CP14" t="e">
        <f>AND('2015'!AN68,"AAAAAGFvL10=")</f>
        <v>#VALUE!</v>
      </c>
      <c r="CQ14" t="e">
        <f>AND('2015'!AO68,"AAAAAGFvL14=")</f>
        <v>#VALUE!</v>
      </c>
      <c r="CR14" t="e">
        <f>AND('2015'!AP68,"AAAAAGFvL18=")</f>
        <v>#VALUE!</v>
      </c>
      <c r="CS14" t="e">
        <f>AND('2015'!AQ68,"AAAAAGFvL2A=")</f>
        <v>#VALUE!</v>
      </c>
      <c r="CT14" t="e">
        <f>AND('2015'!AR68,"AAAAAGFvL2E=")</f>
        <v>#VALUE!</v>
      </c>
      <c r="CU14" t="e">
        <f>AND('2015'!AS68,"AAAAAGFvL2I=")</f>
        <v>#VALUE!</v>
      </c>
      <c r="CV14" t="e">
        <f>AND('2015'!AT68,"AAAAAGFvL2M=")</f>
        <v>#VALUE!</v>
      </c>
      <c r="CW14" t="e">
        <f>AND('2015'!#REF!,"AAAAAGFvL2Q=")</f>
        <v>#REF!</v>
      </c>
      <c r="CX14" t="e">
        <f>AND('2015'!AU68,"AAAAAGFvL2U=")</f>
        <v>#VALUE!</v>
      </c>
      <c r="CY14" t="e">
        <f>AND('2015'!AV68,"AAAAAGFvL2Y=")</f>
        <v>#VALUE!</v>
      </c>
      <c r="CZ14" t="e">
        <f>AND('2015'!AW68,"AAAAAGFvL2c=")</f>
        <v>#VALUE!</v>
      </c>
      <c r="DA14" t="e">
        <f>AND('2015'!AX68,"AAAAAGFvL2g=")</f>
        <v>#VALUE!</v>
      </c>
      <c r="DB14" t="e">
        <f>AND('2015'!AY68,"AAAAAGFvL2k=")</f>
        <v>#VALUE!</v>
      </c>
      <c r="DC14" t="e">
        <f>AND('2015'!AZ68,"AAAAAGFvL2o=")</f>
        <v>#VALUE!</v>
      </c>
      <c r="DD14" t="e">
        <f>AND('2015'!BA68,"AAAAAGFvL2s=")</f>
        <v>#VALUE!</v>
      </c>
      <c r="DE14" t="e">
        <f>AND('2015'!BB68,"AAAAAGFvL2w=")</f>
        <v>#VALUE!</v>
      </c>
      <c r="DF14" t="e">
        <f>AND('2015'!BC68,"AAAAAGFvL20=")</f>
        <v>#VALUE!</v>
      </c>
      <c r="DG14" t="e">
        <f>AND('2015'!BD68,"AAAAAGFvL24=")</f>
        <v>#VALUE!</v>
      </c>
      <c r="DH14" t="e">
        <f>AND('2015'!BE68,"AAAAAGFvL28=")</f>
        <v>#VALUE!</v>
      </c>
      <c r="DI14" t="e">
        <f>AND('2015'!BF68,"AAAAAGFvL3A=")</f>
        <v>#VALUE!</v>
      </c>
      <c r="DJ14" t="e">
        <f>AND('2015'!BG68,"AAAAAGFvL3E=")</f>
        <v>#VALUE!</v>
      </c>
      <c r="DK14" t="e">
        <f>AND('2015'!BH68,"AAAAAGFvL3I=")</f>
        <v>#VALUE!</v>
      </c>
      <c r="DL14" t="e">
        <f>AND('2015'!BI68,"AAAAAGFvL3M=")</f>
        <v>#VALUE!</v>
      </c>
      <c r="DM14" t="e">
        <f>AND('2015'!#REF!,"AAAAAGFvL3Q=")</f>
        <v>#REF!</v>
      </c>
      <c r="DN14" t="e">
        <f>AND('2015'!BJ68,"AAAAAGFvL3U=")</f>
        <v>#VALUE!</v>
      </c>
      <c r="DO14" t="e">
        <f>AND('2015'!BK68,"AAAAAGFvL3Y=")</f>
        <v>#VALUE!</v>
      </c>
      <c r="DP14" t="e">
        <f>AND('2015'!BL68,"AAAAAGFvL3c=")</f>
        <v>#VALUE!</v>
      </c>
      <c r="DQ14" t="e">
        <f>AND('2015'!BM68,"AAAAAGFvL3g=")</f>
        <v>#VALUE!</v>
      </c>
      <c r="DR14" t="e">
        <f>AND('2015'!BY68,"AAAAAGFvL3k=")</f>
        <v>#VALUE!</v>
      </c>
      <c r="DS14">
        <f>IF('2015'!69:69,"AAAAAGFvL3o=",0)</f>
        <v>0</v>
      </c>
      <c r="DT14" t="e">
        <f>AND('2015'!A69,"AAAAAGFvL3s=")</f>
        <v>#VALUE!</v>
      </c>
      <c r="DU14" t="e">
        <f>AND('2015'!B69,"AAAAAGFvL3w=")</f>
        <v>#VALUE!</v>
      </c>
      <c r="DV14" t="e">
        <f>AND('2015'!C69,"AAAAAGFvL30=")</f>
        <v>#VALUE!</v>
      </c>
      <c r="DW14" t="e">
        <f>AND('2015'!D69,"AAAAAGFvL34=")</f>
        <v>#VALUE!</v>
      </c>
      <c r="DX14" t="e">
        <f>AND('2015'!E69,"AAAAAGFvL38=")</f>
        <v>#VALUE!</v>
      </c>
      <c r="DY14" t="e">
        <f>AND('2015'!F69,"AAAAAGFvL4A=")</f>
        <v>#VALUE!</v>
      </c>
      <c r="DZ14" t="e">
        <f>AND('2015'!G69,"AAAAAGFvL4E=")</f>
        <v>#VALUE!</v>
      </c>
      <c r="EA14" t="e">
        <f>AND('2015'!H69,"AAAAAGFvL4I=")</f>
        <v>#VALUE!</v>
      </c>
      <c r="EB14" t="e">
        <f>AND('2015'!I69,"AAAAAGFvL4M=")</f>
        <v>#VALUE!</v>
      </c>
      <c r="EC14" t="e">
        <f>AND('2015'!J69,"AAAAAGFvL4Q=")</f>
        <v>#VALUE!</v>
      </c>
      <c r="ED14" t="e">
        <f>AND('2015'!K69,"AAAAAGFvL4U=")</f>
        <v>#VALUE!</v>
      </c>
      <c r="EE14" t="e">
        <f>AND('2015'!L69,"AAAAAGFvL4Y=")</f>
        <v>#VALUE!</v>
      </c>
      <c r="EF14" t="e">
        <f>AND('2015'!M69,"AAAAAGFvL4c=")</f>
        <v>#VALUE!</v>
      </c>
      <c r="EG14" t="e">
        <f>AND('2015'!N69,"AAAAAGFvL4g=")</f>
        <v>#VALUE!</v>
      </c>
      <c r="EH14" t="e">
        <f>AND('2015'!O69,"AAAAAGFvL4k=")</f>
        <v>#VALUE!</v>
      </c>
      <c r="EI14" t="e">
        <f>AND('2015'!P69,"AAAAAGFvL4o=")</f>
        <v>#VALUE!</v>
      </c>
      <c r="EJ14" t="e">
        <f>AND('2015'!Q69,"AAAAAGFvL4s=")</f>
        <v>#VALUE!</v>
      </c>
      <c r="EK14" t="e">
        <f>AND('2015'!R69,"AAAAAGFvL4w=")</f>
        <v>#VALUE!</v>
      </c>
      <c r="EL14" t="e">
        <f>AND('2015'!S69,"AAAAAGFvL40=")</f>
        <v>#VALUE!</v>
      </c>
      <c r="EM14" t="e">
        <f>AND('2015'!T69,"AAAAAGFvL44=")</f>
        <v>#VALUE!</v>
      </c>
      <c r="EN14" t="e">
        <f>AND('2015'!U69,"AAAAAGFvL48=")</f>
        <v>#VALUE!</v>
      </c>
      <c r="EO14" t="e">
        <f>AND('2015'!V69,"AAAAAGFvL5A=")</f>
        <v>#VALUE!</v>
      </c>
      <c r="EP14" t="e">
        <f>AND('2015'!W69,"AAAAAGFvL5E=")</f>
        <v>#VALUE!</v>
      </c>
      <c r="EQ14" t="e">
        <f>AND('2015'!X69,"AAAAAGFvL5I=")</f>
        <v>#VALUE!</v>
      </c>
      <c r="ER14" t="e">
        <f>AND('2015'!Y69,"AAAAAGFvL5M=")</f>
        <v>#VALUE!</v>
      </c>
      <c r="ES14" t="e">
        <f>AND('2015'!Z69,"AAAAAGFvL5Q=")</f>
        <v>#VALUE!</v>
      </c>
      <c r="ET14" t="e">
        <f>AND('2015'!AA69,"AAAAAGFvL5U=")</f>
        <v>#VALUE!</v>
      </c>
      <c r="EU14" t="e">
        <f>AND('2015'!AB69,"AAAAAGFvL5Y=")</f>
        <v>#VALUE!</v>
      </c>
      <c r="EV14" t="e">
        <f>AND('2015'!AC69,"AAAAAGFvL5c=")</f>
        <v>#VALUE!</v>
      </c>
      <c r="EW14" t="e">
        <f>AND('2015'!AD69,"AAAAAGFvL5g=")</f>
        <v>#VALUE!</v>
      </c>
      <c r="EX14" t="e">
        <f>AND('2015'!AE69,"AAAAAGFvL5k=")</f>
        <v>#VALUE!</v>
      </c>
      <c r="EY14" t="e">
        <f>AND('2015'!AF69,"AAAAAGFvL5o=")</f>
        <v>#VALUE!</v>
      </c>
      <c r="EZ14" t="e">
        <f>AND('2015'!AG69,"AAAAAGFvL5s=")</f>
        <v>#VALUE!</v>
      </c>
      <c r="FA14" t="e">
        <f>AND('2015'!AH69,"AAAAAGFvL5w=")</f>
        <v>#VALUE!</v>
      </c>
      <c r="FB14" t="e">
        <f>AND('2015'!AI69,"AAAAAGFvL50=")</f>
        <v>#VALUE!</v>
      </c>
      <c r="FC14" t="e">
        <f>AND('2015'!AJ69,"AAAAAGFvL54=")</f>
        <v>#VALUE!</v>
      </c>
      <c r="FD14" t="e">
        <f>AND('2015'!AK69,"AAAAAGFvL58=")</f>
        <v>#VALUE!</v>
      </c>
      <c r="FE14" t="e">
        <f>AND('2015'!AL69,"AAAAAGFvL6A=")</f>
        <v>#VALUE!</v>
      </c>
      <c r="FF14" t="e">
        <f>AND('2015'!AM69,"AAAAAGFvL6E=")</f>
        <v>#VALUE!</v>
      </c>
      <c r="FG14" t="e">
        <f>AND('2015'!AN69,"AAAAAGFvL6I=")</f>
        <v>#VALUE!</v>
      </c>
      <c r="FH14" t="e">
        <f>AND('2015'!AO69,"AAAAAGFvL6M=")</f>
        <v>#VALUE!</v>
      </c>
      <c r="FI14" t="e">
        <f>AND('2015'!AP69,"AAAAAGFvL6Q=")</f>
        <v>#VALUE!</v>
      </c>
      <c r="FJ14" t="e">
        <f>AND('2015'!AQ69,"AAAAAGFvL6U=")</f>
        <v>#VALUE!</v>
      </c>
      <c r="FK14" t="e">
        <f>AND('2015'!AR69,"AAAAAGFvL6Y=")</f>
        <v>#VALUE!</v>
      </c>
      <c r="FL14" t="e">
        <f>AND('2015'!AS69,"AAAAAGFvL6c=")</f>
        <v>#VALUE!</v>
      </c>
      <c r="FM14" t="e">
        <f>AND('2015'!AT69,"AAAAAGFvL6g=")</f>
        <v>#VALUE!</v>
      </c>
      <c r="FN14" t="e">
        <f>AND('2015'!#REF!,"AAAAAGFvL6k=")</f>
        <v>#REF!</v>
      </c>
      <c r="FO14" t="e">
        <f>AND('2015'!AU69,"AAAAAGFvL6o=")</f>
        <v>#VALUE!</v>
      </c>
      <c r="FP14" t="e">
        <f>AND('2015'!AV69,"AAAAAGFvL6s=")</f>
        <v>#VALUE!</v>
      </c>
      <c r="FQ14" t="e">
        <f>AND('2015'!AW69,"AAAAAGFvL6w=")</f>
        <v>#VALUE!</v>
      </c>
      <c r="FR14" t="e">
        <f>AND('2015'!AX69,"AAAAAGFvL60=")</f>
        <v>#VALUE!</v>
      </c>
      <c r="FS14" t="e">
        <f>AND('2015'!AY69,"AAAAAGFvL64=")</f>
        <v>#VALUE!</v>
      </c>
      <c r="FT14" t="e">
        <f>AND('2015'!AZ69,"AAAAAGFvL68=")</f>
        <v>#VALUE!</v>
      </c>
      <c r="FU14" t="e">
        <f>AND('2015'!BA69,"AAAAAGFvL7A=")</f>
        <v>#VALUE!</v>
      </c>
      <c r="FV14" t="e">
        <f>AND('2015'!BB69,"AAAAAGFvL7E=")</f>
        <v>#VALUE!</v>
      </c>
      <c r="FW14" t="e">
        <f>AND('2015'!BC69,"AAAAAGFvL7I=")</f>
        <v>#VALUE!</v>
      </c>
      <c r="FX14" t="e">
        <f>AND('2015'!BD69,"AAAAAGFvL7M=")</f>
        <v>#VALUE!</v>
      </c>
      <c r="FY14" t="e">
        <f>AND('2015'!BE69,"AAAAAGFvL7Q=")</f>
        <v>#VALUE!</v>
      </c>
      <c r="FZ14" t="e">
        <f>AND('2015'!BF69,"AAAAAGFvL7U=")</f>
        <v>#VALUE!</v>
      </c>
      <c r="GA14" t="e">
        <f>AND('2015'!BG69,"AAAAAGFvL7Y=")</f>
        <v>#VALUE!</v>
      </c>
      <c r="GB14" t="e">
        <f>AND('2015'!BH69,"AAAAAGFvL7c=")</f>
        <v>#VALUE!</v>
      </c>
      <c r="GC14" t="e">
        <f>AND('2015'!BI69,"AAAAAGFvL7g=")</f>
        <v>#VALUE!</v>
      </c>
      <c r="GD14" t="e">
        <f>AND('2015'!#REF!,"AAAAAGFvL7k=")</f>
        <v>#REF!</v>
      </c>
      <c r="GE14" t="e">
        <f>AND('2015'!BJ69,"AAAAAGFvL7o=")</f>
        <v>#VALUE!</v>
      </c>
      <c r="GF14" t="e">
        <f>AND('2015'!BK69,"AAAAAGFvL7s=")</f>
        <v>#VALUE!</v>
      </c>
      <c r="GG14" t="e">
        <f>AND('2015'!BL69,"AAAAAGFvL7w=")</f>
        <v>#VALUE!</v>
      </c>
      <c r="GH14" t="e">
        <f>AND('2015'!BM69,"AAAAAGFvL70=")</f>
        <v>#VALUE!</v>
      </c>
      <c r="GI14" t="e">
        <f>AND('2015'!BY69,"AAAAAGFvL74=")</f>
        <v>#VALUE!</v>
      </c>
      <c r="GJ14">
        <f>IF('2015'!70:70,"AAAAAGFvL78=",0)</f>
        <v>0</v>
      </c>
      <c r="GK14" t="e">
        <f>AND('2015'!A70,"AAAAAGFvL8A=")</f>
        <v>#VALUE!</v>
      </c>
      <c r="GL14" t="e">
        <f>AND('2015'!B70,"AAAAAGFvL8E=")</f>
        <v>#VALUE!</v>
      </c>
      <c r="GM14" t="e">
        <f>AND('2015'!C70,"AAAAAGFvL8I=")</f>
        <v>#VALUE!</v>
      </c>
      <c r="GN14" t="e">
        <f>AND('2015'!D70,"AAAAAGFvL8M=")</f>
        <v>#VALUE!</v>
      </c>
      <c r="GO14" t="e">
        <f>AND('2015'!E70,"AAAAAGFvL8Q=")</f>
        <v>#VALUE!</v>
      </c>
      <c r="GP14" t="e">
        <f>AND('2015'!F70,"AAAAAGFvL8U=")</f>
        <v>#VALUE!</v>
      </c>
      <c r="GQ14" t="e">
        <f>AND('2015'!G70,"AAAAAGFvL8Y=")</f>
        <v>#VALUE!</v>
      </c>
      <c r="GR14" t="e">
        <f>AND('2015'!H70,"AAAAAGFvL8c=")</f>
        <v>#VALUE!</v>
      </c>
      <c r="GS14" t="e">
        <f>AND('2015'!I70,"AAAAAGFvL8g=")</f>
        <v>#VALUE!</v>
      </c>
      <c r="GT14" t="e">
        <f>AND('2015'!J70,"AAAAAGFvL8k=")</f>
        <v>#VALUE!</v>
      </c>
      <c r="GU14" t="e">
        <f>AND('2015'!K70,"AAAAAGFvL8o=")</f>
        <v>#VALUE!</v>
      </c>
      <c r="GV14" t="e">
        <f>AND('2015'!L70,"AAAAAGFvL8s=")</f>
        <v>#VALUE!</v>
      </c>
      <c r="GW14" t="e">
        <f>AND('2015'!M70,"AAAAAGFvL8w=")</f>
        <v>#VALUE!</v>
      </c>
      <c r="GX14" t="e">
        <f>AND('2015'!N70,"AAAAAGFvL80=")</f>
        <v>#VALUE!</v>
      </c>
      <c r="GY14" t="e">
        <f>AND('2015'!O70,"AAAAAGFvL84=")</f>
        <v>#VALUE!</v>
      </c>
      <c r="GZ14" t="e">
        <f>AND('2015'!P70,"AAAAAGFvL88=")</f>
        <v>#VALUE!</v>
      </c>
      <c r="HA14" t="e">
        <f>AND('2015'!Q70,"AAAAAGFvL9A=")</f>
        <v>#VALUE!</v>
      </c>
      <c r="HB14" t="e">
        <f>AND('2015'!R70,"AAAAAGFvL9E=")</f>
        <v>#VALUE!</v>
      </c>
      <c r="HC14" t="e">
        <f>AND('2015'!S70,"AAAAAGFvL9I=")</f>
        <v>#VALUE!</v>
      </c>
      <c r="HD14" t="e">
        <f>AND('2015'!T70,"AAAAAGFvL9M=")</f>
        <v>#VALUE!</v>
      </c>
      <c r="HE14" t="e">
        <f>AND('2015'!U70,"AAAAAGFvL9Q=")</f>
        <v>#VALUE!</v>
      </c>
      <c r="HF14" t="e">
        <f>AND('2015'!V70,"AAAAAGFvL9U=")</f>
        <v>#VALUE!</v>
      </c>
      <c r="HG14" t="e">
        <f>AND('2015'!W70,"AAAAAGFvL9Y=")</f>
        <v>#VALUE!</v>
      </c>
      <c r="HH14" t="e">
        <f>AND('2015'!X70,"AAAAAGFvL9c=")</f>
        <v>#VALUE!</v>
      </c>
      <c r="HI14" t="e">
        <f>AND('2015'!Y70,"AAAAAGFvL9g=")</f>
        <v>#VALUE!</v>
      </c>
      <c r="HJ14" t="e">
        <f>AND('2015'!Z70,"AAAAAGFvL9k=")</f>
        <v>#VALUE!</v>
      </c>
      <c r="HK14" t="e">
        <f>AND('2015'!AA70,"AAAAAGFvL9o=")</f>
        <v>#VALUE!</v>
      </c>
      <c r="HL14" t="e">
        <f>AND('2015'!AB70,"AAAAAGFvL9s=")</f>
        <v>#VALUE!</v>
      </c>
      <c r="HM14" t="e">
        <f>AND('2015'!AC70,"AAAAAGFvL9w=")</f>
        <v>#VALUE!</v>
      </c>
      <c r="HN14" t="e">
        <f>AND('2015'!AD70,"AAAAAGFvL90=")</f>
        <v>#VALUE!</v>
      </c>
      <c r="HO14" t="e">
        <f>AND('2015'!AE70,"AAAAAGFvL94=")</f>
        <v>#VALUE!</v>
      </c>
      <c r="HP14" t="e">
        <f>AND('2015'!AF70,"AAAAAGFvL98=")</f>
        <v>#VALUE!</v>
      </c>
      <c r="HQ14" t="e">
        <f>AND('2015'!AG70,"AAAAAGFvL+A=")</f>
        <v>#VALUE!</v>
      </c>
      <c r="HR14" t="e">
        <f>AND('2015'!AH70,"AAAAAGFvL+E=")</f>
        <v>#VALUE!</v>
      </c>
      <c r="HS14" t="e">
        <f>AND('2015'!AI70,"AAAAAGFvL+I=")</f>
        <v>#VALUE!</v>
      </c>
      <c r="HT14" t="e">
        <f>AND('2015'!AJ70,"AAAAAGFvL+M=")</f>
        <v>#VALUE!</v>
      </c>
      <c r="HU14" t="e">
        <f>AND('2015'!AK70,"AAAAAGFvL+Q=")</f>
        <v>#VALUE!</v>
      </c>
      <c r="HV14" t="e">
        <f>AND('2015'!AL70,"AAAAAGFvL+U=")</f>
        <v>#VALUE!</v>
      </c>
      <c r="HW14" t="e">
        <f>AND('2015'!AM70,"AAAAAGFvL+Y=")</f>
        <v>#VALUE!</v>
      </c>
      <c r="HX14" t="e">
        <f>AND('2015'!AN70,"AAAAAGFvL+c=")</f>
        <v>#VALUE!</v>
      </c>
      <c r="HY14" t="e">
        <f>AND('2015'!AO70,"AAAAAGFvL+g=")</f>
        <v>#VALUE!</v>
      </c>
      <c r="HZ14" t="e">
        <f>AND('2015'!AP70,"AAAAAGFvL+k=")</f>
        <v>#VALUE!</v>
      </c>
      <c r="IA14" t="e">
        <f>AND('2015'!AQ70,"AAAAAGFvL+o=")</f>
        <v>#VALUE!</v>
      </c>
      <c r="IB14" t="e">
        <f>AND('2015'!AR70,"AAAAAGFvL+s=")</f>
        <v>#VALUE!</v>
      </c>
      <c r="IC14" t="e">
        <f>AND('2015'!AS70,"AAAAAGFvL+w=")</f>
        <v>#VALUE!</v>
      </c>
      <c r="ID14" t="e">
        <f>AND('2015'!AT70,"AAAAAGFvL+0=")</f>
        <v>#VALUE!</v>
      </c>
      <c r="IE14" t="e">
        <f>AND('2015'!#REF!,"AAAAAGFvL+4=")</f>
        <v>#REF!</v>
      </c>
      <c r="IF14" t="e">
        <f>AND('2015'!AU70,"AAAAAGFvL+8=")</f>
        <v>#VALUE!</v>
      </c>
      <c r="IG14" t="e">
        <f>AND('2015'!AV70,"AAAAAGFvL/A=")</f>
        <v>#VALUE!</v>
      </c>
      <c r="IH14" t="e">
        <f>AND('2015'!AW70,"AAAAAGFvL/E=")</f>
        <v>#VALUE!</v>
      </c>
      <c r="II14" t="e">
        <f>AND('2015'!AX70,"AAAAAGFvL/I=")</f>
        <v>#VALUE!</v>
      </c>
      <c r="IJ14" t="e">
        <f>AND('2015'!AY70,"AAAAAGFvL/M=")</f>
        <v>#VALUE!</v>
      </c>
      <c r="IK14" t="e">
        <f>AND('2015'!AZ70,"AAAAAGFvL/Q=")</f>
        <v>#VALUE!</v>
      </c>
      <c r="IL14" t="e">
        <f>AND('2015'!BA70,"AAAAAGFvL/U=")</f>
        <v>#VALUE!</v>
      </c>
      <c r="IM14" t="e">
        <f>AND('2015'!BB70,"AAAAAGFvL/Y=")</f>
        <v>#VALUE!</v>
      </c>
      <c r="IN14" t="e">
        <f>AND('2015'!BC70,"AAAAAGFvL/c=")</f>
        <v>#VALUE!</v>
      </c>
      <c r="IO14" t="e">
        <f>AND('2015'!BD70,"AAAAAGFvL/g=")</f>
        <v>#VALUE!</v>
      </c>
      <c r="IP14" t="e">
        <f>AND('2015'!BE70,"AAAAAGFvL/k=")</f>
        <v>#VALUE!</v>
      </c>
      <c r="IQ14" t="e">
        <f>AND('2015'!BF70,"AAAAAGFvL/o=")</f>
        <v>#VALUE!</v>
      </c>
      <c r="IR14" t="e">
        <f>AND('2015'!BG70,"AAAAAGFvL/s=")</f>
        <v>#VALUE!</v>
      </c>
      <c r="IS14" t="e">
        <f>AND('2015'!BH70,"AAAAAGFvL/w=")</f>
        <v>#VALUE!</v>
      </c>
      <c r="IT14" t="e">
        <f>AND('2015'!BI70,"AAAAAGFvL/0=")</f>
        <v>#VALUE!</v>
      </c>
      <c r="IU14" t="e">
        <f>AND('2015'!#REF!,"AAAAAGFvL/4=")</f>
        <v>#REF!</v>
      </c>
      <c r="IV14" t="e">
        <f>AND('2015'!BJ70,"AAAAAGFvL/8=")</f>
        <v>#VALUE!</v>
      </c>
    </row>
    <row r="15" spans="1:256" x14ac:dyDescent="0.25">
      <c r="A15" t="e">
        <f>AND('2015'!BK70,"AAAAAG99sgA=")</f>
        <v>#VALUE!</v>
      </c>
      <c r="B15" t="e">
        <f>AND('2015'!BL70,"AAAAAG99sgE=")</f>
        <v>#VALUE!</v>
      </c>
      <c r="C15" t="e">
        <f>AND('2015'!BM70,"AAAAAG99sgI=")</f>
        <v>#VALUE!</v>
      </c>
      <c r="D15" t="e">
        <f>AND('2015'!BY70,"AAAAAG99sgM=")</f>
        <v>#VALUE!</v>
      </c>
      <c r="E15" t="e">
        <f>IF('2015'!71:71,"AAAAAG99sgQ=",0)</f>
        <v>#VALUE!</v>
      </c>
      <c r="F15" t="e">
        <f>AND('2015'!A71,"AAAAAG99sgU=")</f>
        <v>#VALUE!</v>
      </c>
      <c r="G15" t="e">
        <f>AND('2015'!B71,"AAAAAG99sgY=")</f>
        <v>#VALUE!</v>
      </c>
      <c r="H15" t="e">
        <f>AND('2015'!C71,"AAAAAG99sgc=")</f>
        <v>#VALUE!</v>
      </c>
      <c r="I15" t="e">
        <f>AND('2015'!D71,"AAAAAG99sgg=")</f>
        <v>#VALUE!</v>
      </c>
      <c r="J15" t="e">
        <f>AND('2015'!E71,"AAAAAG99sgk=")</f>
        <v>#VALUE!</v>
      </c>
      <c r="K15" t="e">
        <f>AND('2015'!F71,"AAAAAG99sgo=")</f>
        <v>#VALUE!</v>
      </c>
      <c r="L15" t="e">
        <f>AND('2015'!G71,"AAAAAG99sgs=")</f>
        <v>#VALUE!</v>
      </c>
      <c r="M15" t="e">
        <f>AND('2015'!H71,"AAAAAG99sgw=")</f>
        <v>#VALUE!</v>
      </c>
      <c r="N15" t="e">
        <f>AND('2015'!I71,"AAAAAG99sg0=")</f>
        <v>#VALUE!</v>
      </c>
      <c r="O15" t="e">
        <f>AND('2015'!J71,"AAAAAG99sg4=")</f>
        <v>#VALUE!</v>
      </c>
      <c r="P15" t="e">
        <f>AND('2015'!K71,"AAAAAG99sg8=")</f>
        <v>#VALUE!</v>
      </c>
      <c r="Q15" t="e">
        <f>AND('2015'!L71,"AAAAAG99shA=")</f>
        <v>#VALUE!</v>
      </c>
      <c r="R15" t="e">
        <f>AND('2015'!M71,"AAAAAG99shE=")</f>
        <v>#VALUE!</v>
      </c>
      <c r="S15" t="e">
        <f>AND('2015'!N71,"AAAAAG99shI=")</f>
        <v>#VALUE!</v>
      </c>
      <c r="T15" t="e">
        <f>AND('2015'!O71,"AAAAAG99shM=")</f>
        <v>#VALUE!</v>
      </c>
      <c r="U15" t="e">
        <f>AND('2015'!P71,"AAAAAG99shQ=")</f>
        <v>#VALUE!</v>
      </c>
      <c r="V15" t="e">
        <f>AND('2015'!Q71,"AAAAAG99shU=")</f>
        <v>#VALUE!</v>
      </c>
      <c r="W15" t="e">
        <f>AND('2015'!R71,"AAAAAG99shY=")</f>
        <v>#VALUE!</v>
      </c>
      <c r="X15" t="e">
        <f>AND('2015'!S71,"AAAAAG99shc=")</f>
        <v>#VALUE!</v>
      </c>
      <c r="Y15" t="e">
        <f>AND('2015'!T71,"AAAAAG99shg=")</f>
        <v>#VALUE!</v>
      </c>
      <c r="Z15" t="e">
        <f>AND('2015'!U71,"AAAAAG99shk=")</f>
        <v>#VALUE!</v>
      </c>
      <c r="AA15" t="e">
        <f>AND('2015'!V71,"AAAAAG99sho=")</f>
        <v>#VALUE!</v>
      </c>
      <c r="AB15" t="e">
        <f>AND('2015'!W71,"AAAAAG99shs=")</f>
        <v>#VALUE!</v>
      </c>
      <c r="AC15" t="e">
        <f>AND('2015'!X71,"AAAAAG99shw=")</f>
        <v>#VALUE!</v>
      </c>
      <c r="AD15" t="e">
        <f>AND('2015'!Y71,"AAAAAG99sh0=")</f>
        <v>#VALUE!</v>
      </c>
      <c r="AE15" t="e">
        <f>AND('2015'!Z71,"AAAAAG99sh4=")</f>
        <v>#VALUE!</v>
      </c>
      <c r="AF15" t="e">
        <f>AND('2015'!AA71,"AAAAAG99sh8=")</f>
        <v>#VALUE!</v>
      </c>
      <c r="AG15" t="e">
        <f>AND('2015'!AB71,"AAAAAG99siA=")</f>
        <v>#VALUE!</v>
      </c>
      <c r="AH15" t="e">
        <f>AND('2015'!AC71,"AAAAAG99siE=")</f>
        <v>#VALUE!</v>
      </c>
      <c r="AI15" t="e">
        <f>AND('2015'!AD71,"AAAAAG99siI=")</f>
        <v>#VALUE!</v>
      </c>
      <c r="AJ15" t="e">
        <f>AND('2015'!AE71,"AAAAAG99siM=")</f>
        <v>#VALUE!</v>
      </c>
      <c r="AK15" t="e">
        <f>AND('2015'!AF71,"AAAAAG99siQ=")</f>
        <v>#VALUE!</v>
      </c>
      <c r="AL15" t="e">
        <f>AND('2015'!AG71,"AAAAAG99siU=")</f>
        <v>#VALUE!</v>
      </c>
      <c r="AM15" t="e">
        <f>AND('2015'!AH71,"AAAAAG99siY=")</f>
        <v>#VALUE!</v>
      </c>
      <c r="AN15" t="e">
        <f>AND('2015'!AI71,"AAAAAG99sic=")</f>
        <v>#VALUE!</v>
      </c>
      <c r="AO15" t="e">
        <f>AND('2015'!AJ71,"AAAAAG99sig=")</f>
        <v>#VALUE!</v>
      </c>
      <c r="AP15" t="e">
        <f>AND('2015'!AK71,"AAAAAG99sik=")</f>
        <v>#VALUE!</v>
      </c>
      <c r="AQ15" t="e">
        <f>AND('2015'!AL71,"AAAAAG99sio=")</f>
        <v>#VALUE!</v>
      </c>
      <c r="AR15" t="e">
        <f>AND('2015'!AM71,"AAAAAG99sis=")</f>
        <v>#VALUE!</v>
      </c>
      <c r="AS15" t="e">
        <f>AND('2015'!AN71,"AAAAAG99siw=")</f>
        <v>#VALUE!</v>
      </c>
      <c r="AT15" t="e">
        <f>AND('2015'!AO71,"AAAAAG99si0=")</f>
        <v>#VALUE!</v>
      </c>
      <c r="AU15" t="e">
        <f>AND('2015'!AP71,"AAAAAG99si4=")</f>
        <v>#VALUE!</v>
      </c>
      <c r="AV15" t="e">
        <f>AND('2015'!AQ71,"AAAAAG99si8=")</f>
        <v>#VALUE!</v>
      </c>
      <c r="AW15" t="e">
        <f>AND('2015'!AR71,"AAAAAG99sjA=")</f>
        <v>#VALUE!</v>
      </c>
      <c r="AX15" t="e">
        <f>AND('2015'!AS71,"AAAAAG99sjE=")</f>
        <v>#VALUE!</v>
      </c>
      <c r="AY15" t="e">
        <f>AND('2015'!AT71,"AAAAAG99sjI=")</f>
        <v>#VALUE!</v>
      </c>
      <c r="AZ15" t="e">
        <f>AND('2015'!#REF!,"AAAAAG99sjM=")</f>
        <v>#REF!</v>
      </c>
      <c r="BA15" t="e">
        <f>AND('2015'!AU71,"AAAAAG99sjQ=")</f>
        <v>#VALUE!</v>
      </c>
      <c r="BB15" t="e">
        <f>AND('2015'!AV71,"AAAAAG99sjU=")</f>
        <v>#VALUE!</v>
      </c>
      <c r="BC15" t="e">
        <f>AND('2015'!AW71,"AAAAAG99sjY=")</f>
        <v>#VALUE!</v>
      </c>
      <c r="BD15" t="e">
        <f>AND('2015'!AX71,"AAAAAG99sjc=")</f>
        <v>#VALUE!</v>
      </c>
      <c r="BE15" t="e">
        <f>AND('2015'!AY71,"AAAAAG99sjg=")</f>
        <v>#VALUE!</v>
      </c>
      <c r="BF15" t="e">
        <f>AND('2015'!AZ71,"AAAAAG99sjk=")</f>
        <v>#VALUE!</v>
      </c>
      <c r="BG15" t="e">
        <f>AND('2015'!BA71,"AAAAAG99sjo=")</f>
        <v>#VALUE!</v>
      </c>
      <c r="BH15" t="e">
        <f>AND('2015'!BB71,"AAAAAG99sjs=")</f>
        <v>#VALUE!</v>
      </c>
      <c r="BI15" t="e">
        <f>AND('2015'!BC71,"AAAAAG99sjw=")</f>
        <v>#VALUE!</v>
      </c>
      <c r="BJ15" t="e">
        <f>AND('2015'!BD71,"AAAAAG99sj0=")</f>
        <v>#VALUE!</v>
      </c>
      <c r="BK15" t="e">
        <f>AND('2015'!BE71,"AAAAAG99sj4=")</f>
        <v>#VALUE!</v>
      </c>
      <c r="BL15" t="e">
        <f>AND('2015'!BF71,"AAAAAG99sj8=")</f>
        <v>#VALUE!</v>
      </c>
      <c r="BM15" t="e">
        <f>AND('2015'!BG71,"AAAAAG99skA=")</f>
        <v>#VALUE!</v>
      </c>
      <c r="BN15" t="e">
        <f>AND('2015'!BH71,"AAAAAG99skE=")</f>
        <v>#VALUE!</v>
      </c>
      <c r="BO15" t="e">
        <f>AND('2015'!BI71,"AAAAAG99skI=")</f>
        <v>#VALUE!</v>
      </c>
      <c r="BP15" t="e">
        <f>AND('2015'!#REF!,"AAAAAG99skM=")</f>
        <v>#REF!</v>
      </c>
      <c r="BQ15" t="e">
        <f>AND('2015'!BJ71,"AAAAAG99skQ=")</f>
        <v>#VALUE!</v>
      </c>
      <c r="BR15" t="e">
        <f>AND('2015'!BK71,"AAAAAG99skU=")</f>
        <v>#VALUE!</v>
      </c>
      <c r="BS15" t="e">
        <f>AND('2015'!BL71,"AAAAAG99skY=")</f>
        <v>#VALUE!</v>
      </c>
      <c r="BT15" t="e">
        <f>AND('2015'!BM71,"AAAAAG99skc=")</f>
        <v>#VALUE!</v>
      </c>
      <c r="BU15" t="e">
        <f>AND('2015'!BY71,"AAAAAG99skg=")</f>
        <v>#VALUE!</v>
      </c>
      <c r="BV15">
        <f>IF('2015'!72:72,"AAAAAG99skk=",0)</f>
        <v>0</v>
      </c>
      <c r="BW15" t="e">
        <f>AND('2015'!A72,"AAAAAG99sko=")</f>
        <v>#VALUE!</v>
      </c>
      <c r="BX15" t="e">
        <f>AND('2015'!B72,"AAAAAG99sks=")</f>
        <v>#VALUE!</v>
      </c>
      <c r="BY15" t="e">
        <f>AND('2015'!C72,"AAAAAG99skw=")</f>
        <v>#VALUE!</v>
      </c>
      <c r="BZ15" t="e">
        <f>AND('2015'!D72,"AAAAAG99sk0=")</f>
        <v>#VALUE!</v>
      </c>
      <c r="CA15" t="e">
        <f>AND('2015'!E72,"AAAAAG99sk4=")</f>
        <v>#VALUE!</v>
      </c>
      <c r="CB15" t="e">
        <f>AND('2015'!F72,"AAAAAG99sk8=")</f>
        <v>#VALUE!</v>
      </c>
      <c r="CC15" t="e">
        <f>AND('2015'!G72,"AAAAAG99slA=")</f>
        <v>#VALUE!</v>
      </c>
      <c r="CD15" t="e">
        <f>AND('2015'!H72,"AAAAAG99slE=")</f>
        <v>#VALUE!</v>
      </c>
      <c r="CE15" t="e">
        <f>AND('2015'!I72,"AAAAAG99slI=")</f>
        <v>#VALUE!</v>
      </c>
      <c r="CF15" t="e">
        <f>AND('2015'!J72,"AAAAAG99slM=")</f>
        <v>#VALUE!</v>
      </c>
      <c r="CG15" t="e">
        <f>AND('2015'!K72,"AAAAAG99slQ=")</f>
        <v>#VALUE!</v>
      </c>
      <c r="CH15" t="e">
        <f>AND('2015'!L72,"AAAAAG99slU=")</f>
        <v>#VALUE!</v>
      </c>
      <c r="CI15" t="e">
        <f>AND('2015'!M72,"AAAAAG99slY=")</f>
        <v>#VALUE!</v>
      </c>
      <c r="CJ15" t="e">
        <f>AND('2015'!N72,"AAAAAG99slc=")</f>
        <v>#VALUE!</v>
      </c>
      <c r="CK15" t="e">
        <f>AND('2015'!O72,"AAAAAG99slg=")</f>
        <v>#VALUE!</v>
      </c>
      <c r="CL15" t="e">
        <f>AND('2015'!P72,"AAAAAG99slk=")</f>
        <v>#VALUE!</v>
      </c>
      <c r="CM15" t="e">
        <f>AND('2015'!Q72,"AAAAAG99slo=")</f>
        <v>#VALUE!</v>
      </c>
      <c r="CN15" t="e">
        <f>AND('2015'!R72,"AAAAAG99sls=")</f>
        <v>#VALUE!</v>
      </c>
      <c r="CO15" t="e">
        <f>AND('2015'!S72,"AAAAAG99slw=")</f>
        <v>#VALUE!</v>
      </c>
      <c r="CP15" t="e">
        <f>AND('2015'!T72,"AAAAAG99sl0=")</f>
        <v>#VALUE!</v>
      </c>
      <c r="CQ15" t="e">
        <f>AND('2015'!U72,"AAAAAG99sl4=")</f>
        <v>#VALUE!</v>
      </c>
      <c r="CR15" t="e">
        <f>AND('2015'!V72,"AAAAAG99sl8=")</f>
        <v>#VALUE!</v>
      </c>
      <c r="CS15" t="e">
        <f>AND('2015'!W72,"AAAAAG99smA=")</f>
        <v>#VALUE!</v>
      </c>
      <c r="CT15" t="e">
        <f>AND('2015'!X72,"AAAAAG99smE=")</f>
        <v>#VALUE!</v>
      </c>
      <c r="CU15" t="e">
        <f>AND('2015'!Y72,"AAAAAG99smI=")</f>
        <v>#VALUE!</v>
      </c>
      <c r="CV15" t="e">
        <f>AND('2015'!Z72,"AAAAAG99smM=")</f>
        <v>#VALUE!</v>
      </c>
      <c r="CW15" t="e">
        <f>AND('2015'!AA72,"AAAAAG99smQ=")</f>
        <v>#VALUE!</v>
      </c>
      <c r="CX15" t="e">
        <f>AND('2015'!AB72,"AAAAAG99smU=")</f>
        <v>#VALUE!</v>
      </c>
      <c r="CY15" t="e">
        <f>AND('2015'!AC72,"AAAAAG99smY=")</f>
        <v>#VALUE!</v>
      </c>
      <c r="CZ15" t="e">
        <f>AND('2015'!AD72,"AAAAAG99smc=")</f>
        <v>#VALUE!</v>
      </c>
      <c r="DA15" t="e">
        <f>AND('2015'!AE72,"AAAAAG99smg=")</f>
        <v>#VALUE!</v>
      </c>
      <c r="DB15" t="e">
        <f>AND('2015'!AF72,"AAAAAG99smk=")</f>
        <v>#VALUE!</v>
      </c>
      <c r="DC15" t="e">
        <f>AND('2015'!AG72,"AAAAAG99smo=")</f>
        <v>#VALUE!</v>
      </c>
      <c r="DD15" t="e">
        <f>AND('2015'!AH72,"AAAAAG99sms=")</f>
        <v>#VALUE!</v>
      </c>
      <c r="DE15" t="e">
        <f>AND('2015'!AI72,"AAAAAG99smw=")</f>
        <v>#VALUE!</v>
      </c>
      <c r="DF15" t="e">
        <f>AND('2015'!AJ72,"AAAAAG99sm0=")</f>
        <v>#VALUE!</v>
      </c>
      <c r="DG15" t="e">
        <f>AND('2015'!AK72,"AAAAAG99sm4=")</f>
        <v>#VALUE!</v>
      </c>
      <c r="DH15" t="e">
        <f>AND('2015'!AL72,"AAAAAG99sm8=")</f>
        <v>#VALUE!</v>
      </c>
      <c r="DI15" t="e">
        <f>AND('2015'!AM72,"AAAAAG99snA=")</f>
        <v>#VALUE!</v>
      </c>
      <c r="DJ15" t="e">
        <f>AND('2015'!AN72,"AAAAAG99snE=")</f>
        <v>#VALUE!</v>
      </c>
      <c r="DK15" t="e">
        <f>AND('2015'!AO72,"AAAAAG99snI=")</f>
        <v>#VALUE!</v>
      </c>
      <c r="DL15" t="e">
        <f>AND('2015'!AP72,"AAAAAG99snM=")</f>
        <v>#VALUE!</v>
      </c>
      <c r="DM15" t="e">
        <f>AND('2015'!AQ72,"AAAAAG99snQ=")</f>
        <v>#VALUE!</v>
      </c>
      <c r="DN15" t="e">
        <f>AND('2015'!AR72,"AAAAAG99snU=")</f>
        <v>#VALUE!</v>
      </c>
      <c r="DO15" t="e">
        <f>AND('2015'!AS72,"AAAAAG99snY=")</f>
        <v>#VALUE!</v>
      </c>
      <c r="DP15" t="e">
        <f>AND('2015'!AT72,"AAAAAG99snc=")</f>
        <v>#VALUE!</v>
      </c>
      <c r="DQ15" t="e">
        <f>AND('2015'!#REF!,"AAAAAG99sng=")</f>
        <v>#REF!</v>
      </c>
      <c r="DR15" t="e">
        <f>AND('2015'!AU72,"AAAAAG99snk=")</f>
        <v>#VALUE!</v>
      </c>
      <c r="DS15" t="e">
        <f>AND('2015'!AV72,"AAAAAG99sno=")</f>
        <v>#VALUE!</v>
      </c>
      <c r="DT15" t="e">
        <f>AND('2015'!AW72,"AAAAAG99sns=")</f>
        <v>#VALUE!</v>
      </c>
      <c r="DU15" t="e">
        <f>AND('2015'!AX72,"AAAAAG99snw=")</f>
        <v>#VALUE!</v>
      </c>
      <c r="DV15" t="e">
        <f>AND('2015'!AY72,"AAAAAG99sn0=")</f>
        <v>#VALUE!</v>
      </c>
      <c r="DW15" t="e">
        <f>AND('2015'!AZ72,"AAAAAG99sn4=")</f>
        <v>#VALUE!</v>
      </c>
      <c r="DX15" t="e">
        <f>AND('2015'!BA72,"AAAAAG99sn8=")</f>
        <v>#VALUE!</v>
      </c>
      <c r="DY15" t="e">
        <f>AND('2015'!BB72,"AAAAAG99soA=")</f>
        <v>#VALUE!</v>
      </c>
      <c r="DZ15" t="e">
        <f>AND('2015'!BC72,"AAAAAG99soE=")</f>
        <v>#VALUE!</v>
      </c>
      <c r="EA15" t="e">
        <f>AND('2015'!BD72,"AAAAAG99soI=")</f>
        <v>#VALUE!</v>
      </c>
      <c r="EB15" t="e">
        <f>AND('2015'!BE72,"AAAAAG99soM=")</f>
        <v>#VALUE!</v>
      </c>
      <c r="EC15" t="e">
        <f>AND('2015'!BF72,"AAAAAG99soQ=")</f>
        <v>#VALUE!</v>
      </c>
      <c r="ED15" t="e">
        <f>AND('2015'!BG72,"AAAAAG99soU=")</f>
        <v>#VALUE!</v>
      </c>
      <c r="EE15" t="e">
        <f>AND('2015'!BH72,"AAAAAG99soY=")</f>
        <v>#VALUE!</v>
      </c>
      <c r="EF15" t="e">
        <f>AND('2015'!BI72,"AAAAAG99soc=")</f>
        <v>#VALUE!</v>
      </c>
      <c r="EG15" t="e">
        <f>AND('2015'!#REF!,"AAAAAG99sog=")</f>
        <v>#REF!</v>
      </c>
      <c r="EH15" t="e">
        <f>AND('2015'!BJ72,"AAAAAG99sok=")</f>
        <v>#VALUE!</v>
      </c>
      <c r="EI15" t="e">
        <f>AND('2015'!BK72,"AAAAAG99soo=")</f>
        <v>#VALUE!</v>
      </c>
      <c r="EJ15" t="e">
        <f>AND('2015'!BL72,"AAAAAG99sos=")</f>
        <v>#VALUE!</v>
      </c>
      <c r="EK15" t="e">
        <f>AND('2015'!BM72,"AAAAAG99sow=")</f>
        <v>#VALUE!</v>
      </c>
      <c r="EL15" t="e">
        <f>AND('2015'!BY72,"AAAAAG99so0=")</f>
        <v>#VALUE!</v>
      </c>
      <c r="EM15">
        <f>IF('2015'!73:73,"AAAAAG99so4=",0)</f>
        <v>0</v>
      </c>
      <c r="EN15" t="e">
        <f>AND('2015'!A73,"AAAAAG99so8=")</f>
        <v>#VALUE!</v>
      </c>
      <c r="EO15" t="e">
        <f>AND('2015'!B73,"AAAAAG99spA=")</f>
        <v>#VALUE!</v>
      </c>
      <c r="EP15" t="e">
        <f>AND('2015'!C73,"AAAAAG99spE=")</f>
        <v>#VALUE!</v>
      </c>
      <c r="EQ15" t="e">
        <f>AND('2015'!D73,"AAAAAG99spI=")</f>
        <v>#VALUE!</v>
      </c>
      <c r="ER15" t="e">
        <f>AND('2015'!E73,"AAAAAG99spM=")</f>
        <v>#VALUE!</v>
      </c>
      <c r="ES15" t="e">
        <f>AND('2015'!F73,"AAAAAG99spQ=")</f>
        <v>#VALUE!</v>
      </c>
      <c r="ET15" t="e">
        <f>AND('2015'!G73,"AAAAAG99spU=")</f>
        <v>#VALUE!</v>
      </c>
      <c r="EU15" t="e">
        <f>AND('2015'!H73,"AAAAAG99spY=")</f>
        <v>#VALUE!</v>
      </c>
      <c r="EV15" t="e">
        <f>AND('2015'!I73,"AAAAAG99spc=")</f>
        <v>#VALUE!</v>
      </c>
      <c r="EW15" t="e">
        <f>AND('2015'!J73,"AAAAAG99spg=")</f>
        <v>#VALUE!</v>
      </c>
      <c r="EX15" t="e">
        <f>AND('2015'!K73,"AAAAAG99spk=")</f>
        <v>#VALUE!</v>
      </c>
      <c r="EY15" t="e">
        <f>AND('2015'!L73,"AAAAAG99spo=")</f>
        <v>#VALUE!</v>
      </c>
      <c r="EZ15" t="e">
        <f>AND('2015'!M73,"AAAAAG99sps=")</f>
        <v>#VALUE!</v>
      </c>
      <c r="FA15" t="e">
        <f>AND('2015'!N73,"AAAAAG99spw=")</f>
        <v>#VALUE!</v>
      </c>
      <c r="FB15" t="e">
        <f>AND('2015'!O73,"AAAAAG99sp0=")</f>
        <v>#VALUE!</v>
      </c>
      <c r="FC15" t="e">
        <f>AND('2015'!P73,"AAAAAG99sp4=")</f>
        <v>#VALUE!</v>
      </c>
      <c r="FD15" t="e">
        <f>AND('2015'!Q73,"AAAAAG99sp8=")</f>
        <v>#VALUE!</v>
      </c>
      <c r="FE15" t="e">
        <f>AND('2015'!R73,"AAAAAG99sqA=")</f>
        <v>#VALUE!</v>
      </c>
      <c r="FF15" t="e">
        <f>AND('2015'!S73,"AAAAAG99sqE=")</f>
        <v>#VALUE!</v>
      </c>
      <c r="FG15" t="e">
        <f>AND('2015'!T73,"AAAAAG99sqI=")</f>
        <v>#VALUE!</v>
      </c>
      <c r="FH15" t="e">
        <f>AND('2015'!U73,"AAAAAG99sqM=")</f>
        <v>#VALUE!</v>
      </c>
      <c r="FI15" t="e">
        <f>AND('2015'!V73,"AAAAAG99sqQ=")</f>
        <v>#VALUE!</v>
      </c>
      <c r="FJ15" t="e">
        <f>AND('2015'!W73,"AAAAAG99sqU=")</f>
        <v>#VALUE!</v>
      </c>
      <c r="FK15" t="e">
        <f>AND('2015'!X73,"AAAAAG99sqY=")</f>
        <v>#VALUE!</v>
      </c>
      <c r="FL15" t="e">
        <f>AND('2015'!Y73,"AAAAAG99sqc=")</f>
        <v>#VALUE!</v>
      </c>
      <c r="FM15" t="e">
        <f>AND('2015'!Z73,"AAAAAG99sqg=")</f>
        <v>#VALUE!</v>
      </c>
      <c r="FN15" t="e">
        <f>AND('2015'!AA73,"AAAAAG99sqk=")</f>
        <v>#VALUE!</v>
      </c>
      <c r="FO15" t="e">
        <f>AND('2015'!AB73,"AAAAAG99sqo=")</f>
        <v>#VALUE!</v>
      </c>
      <c r="FP15" t="e">
        <f>AND('2015'!AC73,"AAAAAG99sqs=")</f>
        <v>#VALUE!</v>
      </c>
      <c r="FQ15" t="e">
        <f>AND('2015'!AD73,"AAAAAG99sqw=")</f>
        <v>#VALUE!</v>
      </c>
      <c r="FR15" t="e">
        <f>AND('2015'!AE73,"AAAAAG99sq0=")</f>
        <v>#VALUE!</v>
      </c>
      <c r="FS15" t="e">
        <f>AND('2015'!AF73,"AAAAAG99sq4=")</f>
        <v>#VALUE!</v>
      </c>
      <c r="FT15" t="e">
        <f>AND('2015'!AG73,"AAAAAG99sq8=")</f>
        <v>#VALUE!</v>
      </c>
      <c r="FU15" t="e">
        <f>AND('2015'!AH73,"AAAAAG99srA=")</f>
        <v>#VALUE!</v>
      </c>
      <c r="FV15" t="e">
        <f>AND('2015'!AI73,"AAAAAG99srE=")</f>
        <v>#VALUE!</v>
      </c>
      <c r="FW15" t="e">
        <f>AND('2015'!AJ73,"AAAAAG99srI=")</f>
        <v>#VALUE!</v>
      </c>
      <c r="FX15" t="e">
        <f>AND('2015'!AK73,"AAAAAG99srM=")</f>
        <v>#VALUE!</v>
      </c>
      <c r="FY15" t="e">
        <f>AND('2015'!AL73,"AAAAAG99srQ=")</f>
        <v>#VALUE!</v>
      </c>
      <c r="FZ15" t="e">
        <f>AND('2015'!AM73,"AAAAAG99srU=")</f>
        <v>#VALUE!</v>
      </c>
      <c r="GA15" t="e">
        <f>AND('2015'!AN73,"AAAAAG99srY=")</f>
        <v>#VALUE!</v>
      </c>
      <c r="GB15" t="e">
        <f>AND('2015'!AO73,"AAAAAG99src=")</f>
        <v>#VALUE!</v>
      </c>
      <c r="GC15" t="e">
        <f>AND('2015'!AP73,"AAAAAG99srg=")</f>
        <v>#VALUE!</v>
      </c>
      <c r="GD15" t="e">
        <f>AND('2015'!AQ73,"AAAAAG99srk=")</f>
        <v>#VALUE!</v>
      </c>
      <c r="GE15" t="e">
        <f>AND('2015'!AR73,"AAAAAG99sro=")</f>
        <v>#VALUE!</v>
      </c>
      <c r="GF15" t="e">
        <f>AND('2015'!AS73,"AAAAAG99srs=")</f>
        <v>#VALUE!</v>
      </c>
      <c r="GG15" t="e">
        <f>AND('2015'!AT73,"AAAAAG99srw=")</f>
        <v>#VALUE!</v>
      </c>
      <c r="GH15" t="e">
        <f>AND('2015'!#REF!,"AAAAAG99sr0=")</f>
        <v>#REF!</v>
      </c>
      <c r="GI15" t="e">
        <f>AND('2015'!AU73,"AAAAAG99sr4=")</f>
        <v>#VALUE!</v>
      </c>
      <c r="GJ15" t="e">
        <f>AND('2015'!AV73,"AAAAAG99sr8=")</f>
        <v>#VALUE!</v>
      </c>
      <c r="GK15" t="e">
        <f>AND('2015'!AW73,"AAAAAG99ssA=")</f>
        <v>#VALUE!</v>
      </c>
      <c r="GL15" t="e">
        <f>AND('2015'!AX73,"AAAAAG99ssE=")</f>
        <v>#VALUE!</v>
      </c>
      <c r="GM15" t="e">
        <f>AND('2015'!AY73,"AAAAAG99ssI=")</f>
        <v>#VALUE!</v>
      </c>
      <c r="GN15" t="e">
        <f>AND('2015'!AZ73,"AAAAAG99ssM=")</f>
        <v>#VALUE!</v>
      </c>
      <c r="GO15" t="e">
        <f>AND('2015'!BA73,"AAAAAG99ssQ=")</f>
        <v>#VALUE!</v>
      </c>
      <c r="GP15" t="e">
        <f>AND('2015'!BB73,"AAAAAG99ssU=")</f>
        <v>#VALUE!</v>
      </c>
      <c r="GQ15" t="e">
        <f>AND('2015'!BC73,"AAAAAG99ssY=")</f>
        <v>#VALUE!</v>
      </c>
      <c r="GR15" t="e">
        <f>AND('2015'!BD73,"AAAAAG99ssc=")</f>
        <v>#VALUE!</v>
      </c>
      <c r="GS15" t="e">
        <f>AND('2015'!BE73,"AAAAAG99ssg=")</f>
        <v>#VALUE!</v>
      </c>
      <c r="GT15" t="e">
        <f>AND('2015'!BF73,"AAAAAG99ssk=")</f>
        <v>#VALUE!</v>
      </c>
      <c r="GU15" t="e">
        <f>AND('2015'!BG73,"AAAAAG99sso=")</f>
        <v>#VALUE!</v>
      </c>
      <c r="GV15" t="e">
        <f>AND('2015'!BH73,"AAAAAG99sss=")</f>
        <v>#VALUE!</v>
      </c>
      <c r="GW15" t="e">
        <f>AND('2015'!BI73,"AAAAAG99ssw=")</f>
        <v>#VALUE!</v>
      </c>
      <c r="GX15" t="e">
        <f>AND('2015'!#REF!,"AAAAAG99ss0=")</f>
        <v>#REF!</v>
      </c>
      <c r="GY15" t="e">
        <f>AND('2015'!BJ73,"AAAAAG99ss4=")</f>
        <v>#VALUE!</v>
      </c>
      <c r="GZ15" t="e">
        <f>AND('2015'!BK73,"AAAAAG99ss8=")</f>
        <v>#VALUE!</v>
      </c>
      <c r="HA15" t="e">
        <f>AND('2015'!BL73,"AAAAAG99stA=")</f>
        <v>#VALUE!</v>
      </c>
      <c r="HB15" t="e">
        <f>AND('2015'!BM73,"AAAAAG99stE=")</f>
        <v>#VALUE!</v>
      </c>
      <c r="HC15" t="e">
        <f>AND('2015'!BY73,"AAAAAG99stI=")</f>
        <v>#VALUE!</v>
      </c>
      <c r="HD15">
        <f>IF('2015'!74:74,"AAAAAG99stM=",0)</f>
        <v>0</v>
      </c>
      <c r="HE15" t="e">
        <f>AND('2015'!A74,"AAAAAG99stQ=")</f>
        <v>#VALUE!</v>
      </c>
      <c r="HF15" t="e">
        <f>AND('2015'!B74,"AAAAAG99stU=")</f>
        <v>#VALUE!</v>
      </c>
      <c r="HG15" t="e">
        <f>AND('2015'!C74,"AAAAAG99stY=")</f>
        <v>#VALUE!</v>
      </c>
      <c r="HH15" t="e">
        <f>AND('2015'!D74,"AAAAAG99stc=")</f>
        <v>#VALUE!</v>
      </c>
      <c r="HI15" t="e">
        <f>AND('2015'!E74,"AAAAAG99stg=")</f>
        <v>#VALUE!</v>
      </c>
      <c r="HJ15" t="e">
        <f>AND('2015'!F74,"AAAAAG99stk=")</f>
        <v>#VALUE!</v>
      </c>
      <c r="HK15" t="e">
        <f>AND('2015'!G74,"AAAAAG99sto=")</f>
        <v>#VALUE!</v>
      </c>
      <c r="HL15" t="e">
        <f>AND('2015'!H74,"AAAAAG99sts=")</f>
        <v>#VALUE!</v>
      </c>
      <c r="HM15" t="e">
        <f>AND('2015'!I74,"AAAAAG99stw=")</f>
        <v>#VALUE!</v>
      </c>
      <c r="HN15" t="e">
        <f>AND('2015'!J74,"AAAAAG99st0=")</f>
        <v>#VALUE!</v>
      </c>
      <c r="HO15" t="e">
        <f>AND('2015'!K74,"AAAAAG99st4=")</f>
        <v>#VALUE!</v>
      </c>
      <c r="HP15" t="e">
        <f>AND('2015'!L74,"AAAAAG99st8=")</f>
        <v>#VALUE!</v>
      </c>
      <c r="HQ15" t="e">
        <f>AND('2015'!M74,"AAAAAG99suA=")</f>
        <v>#VALUE!</v>
      </c>
      <c r="HR15" t="e">
        <f>AND('2015'!N74,"AAAAAG99suE=")</f>
        <v>#VALUE!</v>
      </c>
      <c r="HS15" t="e">
        <f>AND('2015'!O74,"AAAAAG99suI=")</f>
        <v>#VALUE!</v>
      </c>
      <c r="HT15" t="e">
        <f>AND('2015'!P74,"AAAAAG99suM=")</f>
        <v>#VALUE!</v>
      </c>
      <c r="HU15" t="e">
        <f>AND('2015'!Q74,"AAAAAG99suQ=")</f>
        <v>#VALUE!</v>
      </c>
      <c r="HV15" t="e">
        <f>AND('2015'!R74,"AAAAAG99suU=")</f>
        <v>#VALUE!</v>
      </c>
      <c r="HW15" t="e">
        <f>AND('2015'!S74,"AAAAAG99suY=")</f>
        <v>#VALUE!</v>
      </c>
      <c r="HX15" t="e">
        <f>AND('2015'!T74,"AAAAAG99suc=")</f>
        <v>#VALUE!</v>
      </c>
      <c r="HY15" t="e">
        <f>AND('2015'!U74,"AAAAAG99sug=")</f>
        <v>#VALUE!</v>
      </c>
      <c r="HZ15" t="e">
        <f>AND('2015'!V74,"AAAAAG99suk=")</f>
        <v>#VALUE!</v>
      </c>
      <c r="IA15" t="e">
        <f>AND('2015'!W74,"AAAAAG99suo=")</f>
        <v>#VALUE!</v>
      </c>
      <c r="IB15" t="e">
        <f>AND('2015'!X74,"AAAAAG99sus=")</f>
        <v>#VALUE!</v>
      </c>
      <c r="IC15" t="e">
        <f>AND('2015'!Y74,"AAAAAG99suw=")</f>
        <v>#VALUE!</v>
      </c>
      <c r="ID15" t="e">
        <f>AND('2015'!Z74,"AAAAAG99su0=")</f>
        <v>#VALUE!</v>
      </c>
      <c r="IE15" t="e">
        <f>AND('2015'!AA74,"AAAAAG99su4=")</f>
        <v>#VALUE!</v>
      </c>
      <c r="IF15" t="e">
        <f>AND('2015'!AB74,"AAAAAG99su8=")</f>
        <v>#VALUE!</v>
      </c>
      <c r="IG15" t="e">
        <f>AND('2015'!AC74,"AAAAAG99svA=")</f>
        <v>#VALUE!</v>
      </c>
      <c r="IH15" t="e">
        <f>AND('2015'!AD74,"AAAAAG99svE=")</f>
        <v>#VALUE!</v>
      </c>
      <c r="II15" t="e">
        <f>AND('2015'!AE74,"AAAAAG99svI=")</f>
        <v>#VALUE!</v>
      </c>
      <c r="IJ15" t="e">
        <f>AND('2015'!AF74,"AAAAAG99svM=")</f>
        <v>#VALUE!</v>
      </c>
      <c r="IK15" t="e">
        <f>AND('2015'!AG74,"AAAAAG99svQ=")</f>
        <v>#VALUE!</v>
      </c>
      <c r="IL15" t="e">
        <f>AND('2015'!AH74,"AAAAAG99svU=")</f>
        <v>#VALUE!</v>
      </c>
      <c r="IM15" t="e">
        <f>AND('2015'!AI74,"AAAAAG99svY=")</f>
        <v>#VALUE!</v>
      </c>
      <c r="IN15" t="e">
        <f>AND('2015'!AJ74,"AAAAAG99svc=")</f>
        <v>#VALUE!</v>
      </c>
      <c r="IO15" t="e">
        <f>AND('2015'!AK74,"AAAAAG99svg=")</f>
        <v>#VALUE!</v>
      </c>
      <c r="IP15" t="e">
        <f>AND('2015'!AL74,"AAAAAG99svk=")</f>
        <v>#VALUE!</v>
      </c>
      <c r="IQ15" t="e">
        <f>AND('2015'!AM74,"AAAAAG99svo=")</f>
        <v>#VALUE!</v>
      </c>
      <c r="IR15" t="e">
        <f>AND('2015'!AN74,"AAAAAG99svs=")</f>
        <v>#VALUE!</v>
      </c>
      <c r="IS15" t="e">
        <f>AND('2015'!AO74,"AAAAAG99svw=")</f>
        <v>#VALUE!</v>
      </c>
      <c r="IT15" t="e">
        <f>AND('2015'!AP74,"AAAAAG99sv0=")</f>
        <v>#VALUE!</v>
      </c>
      <c r="IU15" t="e">
        <f>AND('2015'!AQ74,"AAAAAG99sv4=")</f>
        <v>#VALUE!</v>
      </c>
      <c r="IV15" t="e">
        <f>AND('2015'!AR74,"AAAAAG99sv8=")</f>
        <v>#VALUE!</v>
      </c>
    </row>
    <row r="16" spans="1:256" x14ac:dyDescent="0.25">
      <c r="A16" t="e">
        <f>AND('2015'!AS74,"AAAAAHpzuAA=")</f>
        <v>#VALUE!</v>
      </c>
      <c r="B16" t="e">
        <f>AND('2015'!AT74,"AAAAAHpzuAE=")</f>
        <v>#VALUE!</v>
      </c>
      <c r="C16" t="e">
        <f>AND('2015'!#REF!,"AAAAAHpzuAI=")</f>
        <v>#REF!</v>
      </c>
      <c r="D16" t="e">
        <f>AND('2015'!AU74,"AAAAAHpzuAM=")</f>
        <v>#VALUE!</v>
      </c>
      <c r="E16" t="e">
        <f>AND('2015'!AV74,"AAAAAHpzuAQ=")</f>
        <v>#VALUE!</v>
      </c>
      <c r="F16" t="e">
        <f>AND('2015'!AW74,"AAAAAHpzuAU=")</f>
        <v>#VALUE!</v>
      </c>
      <c r="G16" t="e">
        <f>AND('2015'!AX74,"AAAAAHpzuAY=")</f>
        <v>#VALUE!</v>
      </c>
      <c r="H16" t="e">
        <f>AND('2015'!AY74,"AAAAAHpzuAc=")</f>
        <v>#VALUE!</v>
      </c>
      <c r="I16" t="e">
        <f>AND('2015'!AZ74,"AAAAAHpzuAg=")</f>
        <v>#VALUE!</v>
      </c>
      <c r="J16" t="e">
        <f>AND('2015'!BA74,"AAAAAHpzuAk=")</f>
        <v>#VALUE!</v>
      </c>
      <c r="K16" t="e">
        <f>AND('2015'!BB74,"AAAAAHpzuAo=")</f>
        <v>#VALUE!</v>
      </c>
      <c r="L16" t="e">
        <f>AND('2015'!BC74,"AAAAAHpzuAs=")</f>
        <v>#VALUE!</v>
      </c>
      <c r="M16" t="e">
        <f>AND('2015'!BD74,"AAAAAHpzuAw=")</f>
        <v>#VALUE!</v>
      </c>
      <c r="N16" t="e">
        <f>AND('2015'!BE74,"AAAAAHpzuA0=")</f>
        <v>#VALUE!</v>
      </c>
      <c r="O16" t="e">
        <f>AND('2015'!BF74,"AAAAAHpzuA4=")</f>
        <v>#VALUE!</v>
      </c>
      <c r="P16" t="e">
        <f>AND('2015'!BG74,"AAAAAHpzuA8=")</f>
        <v>#VALUE!</v>
      </c>
      <c r="Q16" t="e">
        <f>AND('2015'!BH74,"AAAAAHpzuBA=")</f>
        <v>#VALUE!</v>
      </c>
      <c r="R16" t="e">
        <f>AND('2015'!BI74,"AAAAAHpzuBE=")</f>
        <v>#VALUE!</v>
      </c>
      <c r="S16" t="e">
        <f>AND('2015'!#REF!,"AAAAAHpzuBI=")</f>
        <v>#REF!</v>
      </c>
      <c r="T16" t="e">
        <f>AND('2015'!BJ74,"AAAAAHpzuBM=")</f>
        <v>#VALUE!</v>
      </c>
      <c r="U16" t="e">
        <f>AND('2015'!BK74,"AAAAAHpzuBQ=")</f>
        <v>#VALUE!</v>
      </c>
      <c r="V16" t="e">
        <f>AND('2015'!BL74,"AAAAAHpzuBU=")</f>
        <v>#VALUE!</v>
      </c>
      <c r="W16" t="e">
        <f>AND('2015'!BM74,"AAAAAHpzuBY=")</f>
        <v>#VALUE!</v>
      </c>
      <c r="X16" t="e">
        <f>AND('2015'!BY74,"AAAAAHpzuBc=")</f>
        <v>#VALUE!</v>
      </c>
      <c r="Y16">
        <f>IF('2015'!75:75,"AAAAAHpzuBg=",0)</f>
        <v>0</v>
      </c>
      <c r="Z16" t="e">
        <f>AND('2015'!A75,"AAAAAHpzuBk=")</f>
        <v>#VALUE!</v>
      </c>
      <c r="AA16" t="e">
        <f>AND('2015'!B75,"AAAAAHpzuBo=")</f>
        <v>#VALUE!</v>
      </c>
      <c r="AB16" t="e">
        <f>AND('2015'!C75,"AAAAAHpzuBs=")</f>
        <v>#VALUE!</v>
      </c>
      <c r="AC16" t="e">
        <f>AND('2015'!D75,"AAAAAHpzuBw=")</f>
        <v>#VALUE!</v>
      </c>
      <c r="AD16" t="e">
        <f>AND('2015'!E75,"AAAAAHpzuB0=")</f>
        <v>#VALUE!</v>
      </c>
      <c r="AE16" t="e">
        <f>AND('2015'!F75,"AAAAAHpzuB4=")</f>
        <v>#VALUE!</v>
      </c>
      <c r="AF16" t="e">
        <f>AND('2015'!G75,"AAAAAHpzuB8=")</f>
        <v>#VALUE!</v>
      </c>
      <c r="AG16" t="e">
        <f>AND('2015'!H75,"AAAAAHpzuCA=")</f>
        <v>#VALUE!</v>
      </c>
      <c r="AH16" t="e">
        <f>AND('2015'!I75,"AAAAAHpzuCE=")</f>
        <v>#VALUE!</v>
      </c>
      <c r="AI16" t="e">
        <f>AND('2015'!J75,"AAAAAHpzuCI=")</f>
        <v>#VALUE!</v>
      </c>
      <c r="AJ16" t="e">
        <f>AND('2015'!K75,"AAAAAHpzuCM=")</f>
        <v>#VALUE!</v>
      </c>
      <c r="AK16" t="e">
        <f>AND('2015'!L75,"AAAAAHpzuCQ=")</f>
        <v>#VALUE!</v>
      </c>
      <c r="AL16" t="e">
        <f>AND('2015'!M75,"AAAAAHpzuCU=")</f>
        <v>#VALUE!</v>
      </c>
      <c r="AM16" t="e">
        <f>AND('2015'!N75,"AAAAAHpzuCY=")</f>
        <v>#VALUE!</v>
      </c>
      <c r="AN16" t="e">
        <f>AND('2015'!O75,"AAAAAHpzuCc=")</f>
        <v>#VALUE!</v>
      </c>
      <c r="AO16" t="e">
        <f>AND('2015'!P75,"AAAAAHpzuCg=")</f>
        <v>#VALUE!</v>
      </c>
      <c r="AP16" t="e">
        <f>AND('2015'!Q75,"AAAAAHpzuCk=")</f>
        <v>#VALUE!</v>
      </c>
      <c r="AQ16" t="e">
        <f>AND('2015'!R75,"AAAAAHpzuCo=")</f>
        <v>#VALUE!</v>
      </c>
      <c r="AR16" t="e">
        <f>AND('2015'!S75,"AAAAAHpzuCs=")</f>
        <v>#VALUE!</v>
      </c>
      <c r="AS16" t="e">
        <f>AND('2015'!T75,"AAAAAHpzuCw=")</f>
        <v>#VALUE!</v>
      </c>
      <c r="AT16" t="e">
        <f>AND('2015'!U75,"AAAAAHpzuC0=")</f>
        <v>#VALUE!</v>
      </c>
      <c r="AU16" t="e">
        <f>AND('2015'!V75,"AAAAAHpzuC4=")</f>
        <v>#VALUE!</v>
      </c>
      <c r="AV16" t="e">
        <f>AND('2015'!W75,"AAAAAHpzuC8=")</f>
        <v>#VALUE!</v>
      </c>
      <c r="AW16" t="e">
        <f>AND('2015'!X75,"AAAAAHpzuDA=")</f>
        <v>#VALUE!</v>
      </c>
      <c r="AX16" t="e">
        <f>AND('2015'!Y75,"AAAAAHpzuDE=")</f>
        <v>#VALUE!</v>
      </c>
      <c r="AY16" t="e">
        <f>AND('2015'!Z75,"AAAAAHpzuDI=")</f>
        <v>#VALUE!</v>
      </c>
      <c r="AZ16" t="e">
        <f>AND('2015'!AA75,"AAAAAHpzuDM=")</f>
        <v>#VALUE!</v>
      </c>
      <c r="BA16" t="e">
        <f>AND('2015'!AB75,"AAAAAHpzuDQ=")</f>
        <v>#VALUE!</v>
      </c>
      <c r="BB16" t="e">
        <f>AND('2015'!AC75,"AAAAAHpzuDU=")</f>
        <v>#VALUE!</v>
      </c>
      <c r="BC16" t="e">
        <f>AND('2015'!AD75,"AAAAAHpzuDY=")</f>
        <v>#VALUE!</v>
      </c>
      <c r="BD16" t="e">
        <f>AND('2015'!AE75,"AAAAAHpzuDc=")</f>
        <v>#VALUE!</v>
      </c>
      <c r="BE16" t="e">
        <f>AND('2015'!AF75,"AAAAAHpzuDg=")</f>
        <v>#VALUE!</v>
      </c>
      <c r="BF16" t="e">
        <f>AND('2015'!AG75,"AAAAAHpzuDk=")</f>
        <v>#VALUE!</v>
      </c>
      <c r="BG16" t="e">
        <f>AND('2015'!AH75,"AAAAAHpzuDo=")</f>
        <v>#VALUE!</v>
      </c>
      <c r="BH16" t="e">
        <f>AND('2015'!AI75,"AAAAAHpzuDs=")</f>
        <v>#VALUE!</v>
      </c>
      <c r="BI16" t="e">
        <f>AND('2015'!AJ75,"AAAAAHpzuDw=")</f>
        <v>#VALUE!</v>
      </c>
      <c r="BJ16" t="e">
        <f>AND('2015'!AK75,"AAAAAHpzuD0=")</f>
        <v>#VALUE!</v>
      </c>
      <c r="BK16" t="e">
        <f>AND('2015'!AL75,"AAAAAHpzuD4=")</f>
        <v>#VALUE!</v>
      </c>
      <c r="BL16" t="e">
        <f>AND('2015'!AM75,"AAAAAHpzuD8=")</f>
        <v>#VALUE!</v>
      </c>
      <c r="BM16" t="e">
        <f>AND('2015'!AN75,"AAAAAHpzuEA=")</f>
        <v>#VALUE!</v>
      </c>
      <c r="BN16" t="e">
        <f>AND('2015'!AO75,"AAAAAHpzuEE=")</f>
        <v>#VALUE!</v>
      </c>
      <c r="BO16" t="e">
        <f>AND('2015'!AP75,"AAAAAHpzuEI=")</f>
        <v>#VALUE!</v>
      </c>
      <c r="BP16" t="e">
        <f>AND('2015'!AQ75,"AAAAAHpzuEM=")</f>
        <v>#VALUE!</v>
      </c>
      <c r="BQ16" t="e">
        <f>AND('2015'!AR75,"AAAAAHpzuEQ=")</f>
        <v>#VALUE!</v>
      </c>
      <c r="BR16" t="e">
        <f>AND('2015'!AS75,"AAAAAHpzuEU=")</f>
        <v>#VALUE!</v>
      </c>
      <c r="BS16" t="e">
        <f>AND('2015'!AT75,"AAAAAHpzuEY=")</f>
        <v>#VALUE!</v>
      </c>
      <c r="BT16" t="e">
        <f>AND('2015'!#REF!,"AAAAAHpzuEc=")</f>
        <v>#REF!</v>
      </c>
      <c r="BU16" t="e">
        <f>AND('2015'!AU75,"AAAAAHpzuEg=")</f>
        <v>#VALUE!</v>
      </c>
      <c r="BV16" t="e">
        <f>AND('2015'!AV75,"AAAAAHpzuEk=")</f>
        <v>#VALUE!</v>
      </c>
      <c r="BW16" t="e">
        <f>AND('2015'!AW75,"AAAAAHpzuEo=")</f>
        <v>#VALUE!</v>
      </c>
      <c r="BX16" t="e">
        <f>AND('2015'!AX75,"AAAAAHpzuEs=")</f>
        <v>#VALUE!</v>
      </c>
      <c r="BY16" t="e">
        <f>AND('2015'!AY75,"AAAAAHpzuEw=")</f>
        <v>#VALUE!</v>
      </c>
      <c r="BZ16" t="e">
        <f>AND('2015'!AZ75,"AAAAAHpzuE0=")</f>
        <v>#VALUE!</v>
      </c>
      <c r="CA16" t="e">
        <f>AND('2015'!BA75,"AAAAAHpzuE4=")</f>
        <v>#VALUE!</v>
      </c>
      <c r="CB16" t="e">
        <f>AND('2015'!BB75,"AAAAAHpzuE8=")</f>
        <v>#VALUE!</v>
      </c>
      <c r="CC16" t="e">
        <f>AND('2015'!BC75,"AAAAAHpzuFA=")</f>
        <v>#VALUE!</v>
      </c>
      <c r="CD16" t="e">
        <f>AND('2015'!BD75,"AAAAAHpzuFE=")</f>
        <v>#VALUE!</v>
      </c>
      <c r="CE16" t="e">
        <f>AND('2015'!BE75,"AAAAAHpzuFI=")</f>
        <v>#VALUE!</v>
      </c>
      <c r="CF16" t="e">
        <f>AND('2015'!BF75,"AAAAAHpzuFM=")</f>
        <v>#VALUE!</v>
      </c>
      <c r="CG16" t="e">
        <f>AND('2015'!BG75,"AAAAAHpzuFQ=")</f>
        <v>#VALUE!</v>
      </c>
      <c r="CH16" t="e">
        <f>AND('2015'!BH75,"AAAAAHpzuFU=")</f>
        <v>#VALUE!</v>
      </c>
      <c r="CI16" t="e">
        <f>AND('2015'!BI75,"AAAAAHpzuFY=")</f>
        <v>#VALUE!</v>
      </c>
      <c r="CJ16" t="e">
        <f>AND('2015'!#REF!,"AAAAAHpzuFc=")</f>
        <v>#REF!</v>
      </c>
      <c r="CK16" t="e">
        <f>AND('2015'!BJ75,"AAAAAHpzuFg=")</f>
        <v>#VALUE!</v>
      </c>
      <c r="CL16" t="e">
        <f>AND('2015'!BK75,"AAAAAHpzuFk=")</f>
        <v>#VALUE!</v>
      </c>
      <c r="CM16" t="e">
        <f>AND('2015'!BL75,"AAAAAHpzuFo=")</f>
        <v>#VALUE!</v>
      </c>
      <c r="CN16" t="e">
        <f>AND('2015'!BM75,"AAAAAHpzuFs=")</f>
        <v>#VALUE!</v>
      </c>
      <c r="CO16" t="e">
        <f>AND('2015'!BY75,"AAAAAHpzuFw=")</f>
        <v>#VALUE!</v>
      </c>
      <c r="CP16">
        <f>IF('2015'!76:76,"AAAAAHpzuF0=",0)</f>
        <v>0</v>
      </c>
      <c r="CQ16" t="e">
        <f>AND('2015'!A76,"AAAAAHpzuF4=")</f>
        <v>#VALUE!</v>
      </c>
      <c r="CR16" t="e">
        <f>AND('2015'!B76,"AAAAAHpzuF8=")</f>
        <v>#VALUE!</v>
      </c>
      <c r="CS16" t="e">
        <f>AND('2015'!C76,"AAAAAHpzuGA=")</f>
        <v>#VALUE!</v>
      </c>
      <c r="CT16" t="e">
        <f>AND('2015'!D76,"AAAAAHpzuGE=")</f>
        <v>#VALUE!</v>
      </c>
      <c r="CU16" t="e">
        <f>AND('2015'!E76,"AAAAAHpzuGI=")</f>
        <v>#VALUE!</v>
      </c>
      <c r="CV16" t="e">
        <f>AND('2015'!F76,"AAAAAHpzuGM=")</f>
        <v>#VALUE!</v>
      </c>
      <c r="CW16" t="e">
        <f>AND('2015'!G76,"AAAAAHpzuGQ=")</f>
        <v>#VALUE!</v>
      </c>
      <c r="CX16" t="e">
        <f>AND('2015'!H76,"AAAAAHpzuGU=")</f>
        <v>#VALUE!</v>
      </c>
      <c r="CY16" t="e">
        <f>AND('2015'!I76,"AAAAAHpzuGY=")</f>
        <v>#VALUE!</v>
      </c>
      <c r="CZ16" t="e">
        <f>AND('2015'!J76,"AAAAAHpzuGc=")</f>
        <v>#VALUE!</v>
      </c>
      <c r="DA16" t="e">
        <f>AND('2015'!K76,"AAAAAHpzuGg=")</f>
        <v>#VALUE!</v>
      </c>
      <c r="DB16" t="e">
        <f>AND('2015'!L76,"AAAAAHpzuGk=")</f>
        <v>#VALUE!</v>
      </c>
      <c r="DC16" t="e">
        <f>AND('2015'!M76,"AAAAAHpzuGo=")</f>
        <v>#VALUE!</v>
      </c>
      <c r="DD16" t="e">
        <f>AND('2015'!N76,"AAAAAHpzuGs=")</f>
        <v>#VALUE!</v>
      </c>
      <c r="DE16" t="e">
        <f>AND('2015'!O76,"AAAAAHpzuGw=")</f>
        <v>#VALUE!</v>
      </c>
      <c r="DF16" t="e">
        <f>AND('2015'!P76,"AAAAAHpzuG0=")</f>
        <v>#VALUE!</v>
      </c>
      <c r="DG16" t="e">
        <f>AND('2015'!Q76,"AAAAAHpzuG4=")</f>
        <v>#VALUE!</v>
      </c>
      <c r="DH16" t="e">
        <f>AND('2015'!R76,"AAAAAHpzuG8=")</f>
        <v>#VALUE!</v>
      </c>
      <c r="DI16" t="e">
        <f>AND('2015'!S76,"AAAAAHpzuHA=")</f>
        <v>#VALUE!</v>
      </c>
      <c r="DJ16" t="e">
        <f>AND('2015'!T76,"AAAAAHpzuHE=")</f>
        <v>#VALUE!</v>
      </c>
      <c r="DK16" t="e">
        <f>AND('2015'!U76,"AAAAAHpzuHI=")</f>
        <v>#VALUE!</v>
      </c>
      <c r="DL16" t="e">
        <f>AND('2015'!V76,"AAAAAHpzuHM=")</f>
        <v>#VALUE!</v>
      </c>
      <c r="DM16" t="e">
        <f>AND('2015'!W76,"AAAAAHpzuHQ=")</f>
        <v>#VALUE!</v>
      </c>
      <c r="DN16" t="e">
        <f>AND('2015'!X76,"AAAAAHpzuHU=")</f>
        <v>#VALUE!</v>
      </c>
      <c r="DO16" t="e">
        <f>AND('2015'!Y76,"AAAAAHpzuHY=")</f>
        <v>#VALUE!</v>
      </c>
      <c r="DP16" t="e">
        <f>AND('2015'!Z76,"AAAAAHpzuHc=")</f>
        <v>#VALUE!</v>
      </c>
      <c r="DQ16" t="e">
        <f>AND('2015'!AA76,"AAAAAHpzuHg=")</f>
        <v>#VALUE!</v>
      </c>
      <c r="DR16" t="e">
        <f>AND('2015'!AB76,"AAAAAHpzuHk=")</f>
        <v>#VALUE!</v>
      </c>
      <c r="DS16" t="e">
        <f>AND('2015'!AC76,"AAAAAHpzuHo=")</f>
        <v>#VALUE!</v>
      </c>
      <c r="DT16" t="e">
        <f>AND('2015'!AD76,"AAAAAHpzuHs=")</f>
        <v>#VALUE!</v>
      </c>
      <c r="DU16" t="e">
        <f>AND('2015'!AE76,"AAAAAHpzuHw=")</f>
        <v>#VALUE!</v>
      </c>
      <c r="DV16" t="e">
        <f>AND('2015'!AF76,"AAAAAHpzuH0=")</f>
        <v>#VALUE!</v>
      </c>
      <c r="DW16" t="e">
        <f>AND('2015'!AG76,"AAAAAHpzuH4=")</f>
        <v>#VALUE!</v>
      </c>
      <c r="DX16" t="e">
        <f>AND('2015'!AH76,"AAAAAHpzuH8=")</f>
        <v>#VALUE!</v>
      </c>
      <c r="DY16" t="e">
        <f>AND('2015'!AI76,"AAAAAHpzuIA=")</f>
        <v>#VALUE!</v>
      </c>
      <c r="DZ16" t="e">
        <f>AND('2015'!AJ76,"AAAAAHpzuIE=")</f>
        <v>#VALUE!</v>
      </c>
      <c r="EA16" t="e">
        <f>AND('2015'!AK76,"AAAAAHpzuII=")</f>
        <v>#VALUE!</v>
      </c>
      <c r="EB16" t="e">
        <f>AND('2015'!AL76,"AAAAAHpzuIM=")</f>
        <v>#VALUE!</v>
      </c>
      <c r="EC16" t="e">
        <f>AND('2015'!AM76,"AAAAAHpzuIQ=")</f>
        <v>#VALUE!</v>
      </c>
      <c r="ED16" t="e">
        <f>AND('2015'!AN76,"AAAAAHpzuIU=")</f>
        <v>#VALUE!</v>
      </c>
      <c r="EE16" t="e">
        <f>AND('2015'!AO76,"AAAAAHpzuIY=")</f>
        <v>#VALUE!</v>
      </c>
      <c r="EF16" t="e">
        <f>AND('2015'!AP76,"AAAAAHpzuIc=")</f>
        <v>#VALUE!</v>
      </c>
      <c r="EG16" t="e">
        <f>AND('2015'!AQ76,"AAAAAHpzuIg=")</f>
        <v>#VALUE!</v>
      </c>
      <c r="EH16" t="e">
        <f>AND('2015'!AR76,"AAAAAHpzuIk=")</f>
        <v>#VALUE!</v>
      </c>
      <c r="EI16" t="e">
        <f>AND('2015'!AS76,"AAAAAHpzuIo=")</f>
        <v>#VALUE!</v>
      </c>
      <c r="EJ16" t="e">
        <f>AND('2015'!AT76,"AAAAAHpzuIs=")</f>
        <v>#VALUE!</v>
      </c>
      <c r="EK16" t="e">
        <f>AND('2015'!#REF!,"AAAAAHpzuIw=")</f>
        <v>#REF!</v>
      </c>
      <c r="EL16" t="e">
        <f>AND('2015'!AU76,"AAAAAHpzuI0=")</f>
        <v>#VALUE!</v>
      </c>
      <c r="EM16" t="e">
        <f>AND('2015'!AV76,"AAAAAHpzuI4=")</f>
        <v>#VALUE!</v>
      </c>
      <c r="EN16" t="e">
        <f>AND('2015'!AW76,"AAAAAHpzuI8=")</f>
        <v>#VALUE!</v>
      </c>
      <c r="EO16" t="e">
        <f>AND('2015'!AX76,"AAAAAHpzuJA=")</f>
        <v>#VALUE!</v>
      </c>
      <c r="EP16" t="e">
        <f>AND('2015'!AY76,"AAAAAHpzuJE=")</f>
        <v>#VALUE!</v>
      </c>
      <c r="EQ16" t="e">
        <f>AND('2015'!AZ76,"AAAAAHpzuJI=")</f>
        <v>#VALUE!</v>
      </c>
      <c r="ER16" t="e">
        <f>AND('2015'!BA76,"AAAAAHpzuJM=")</f>
        <v>#VALUE!</v>
      </c>
      <c r="ES16" t="e">
        <f>AND('2015'!BB76,"AAAAAHpzuJQ=")</f>
        <v>#VALUE!</v>
      </c>
      <c r="ET16" t="e">
        <f>AND('2015'!BC76,"AAAAAHpzuJU=")</f>
        <v>#VALUE!</v>
      </c>
      <c r="EU16" t="e">
        <f>AND('2015'!BD76,"AAAAAHpzuJY=")</f>
        <v>#VALUE!</v>
      </c>
      <c r="EV16" t="e">
        <f>AND('2015'!BE76,"AAAAAHpzuJc=")</f>
        <v>#VALUE!</v>
      </c>
      <c r="EW16" t="e">
        <f>AND('2015'!BF76,"AAAAAHpzuJg=")</f>
        <v>#VALUE!</v>
      </c>
      <c r="EX16" t="e">
        <f>AND('2015'!BG76,"AAAAAHpzuJk=")</f>
        <v>#VALUE!</v>
      </c>
      <c r="EY16" t="e">
        <f>AND('2015'!BH76,"AAAAAHpzuJo=")</f>
        <v>#VALUE!</v>
      </c>
      <c r="EZ16" t="e">
        <f>AND('2015'!BI76,"AAAAAHpzuJs=")</f>
        <v>#VALUE!</v>
      </c>
      <c r="FA16" t="e">
        <f>AND('2015'!#REF!,"AAAAAHpzuJw=")</f>
        <v>#REF!</v>
      </c>
      <c r="FB16" t="e">
        <f>AND('2015'!BJ76,"AAAAAHpzuJ0=")</f>
        <v>#VALUE!</v>
      </c>
      <c r="FC16" t="e">
        <f>AND('2015'!BK76,"AAAAAHpzuJ4=")</f>
        <v>#VALUE!</v>
      </c>
      <c r="FD16" t="e">
        <f>AND('2015'!BL76,"AAAAAHpzuJ8=")</f>
        <v>#VALUE!</v>
      </c>
      <c r="FE16" t="e">
        <f>AND('2015'!BM76,"AAAAAHpzuKA=")</f>
        <v>#VALUE!</v>
      </c>
      <c r="FF16" t="e">
        <f>AND('2015'!BY76,"AAAAAHpzuKE=")</f>
        <v>#VALUE!</v>
      </c>
      <c r="FG16">
        <f>IF('2015'!77:77,"AAAAAHpzuKI=",0)</f>
        <v>0</v>
      </c>
      <c r="FH16" t="e">
        <f>AND('2015'!A77,"AAAAAHpzuKM=")</f>
        <v>#VALUE!</v>
      </c>
      <c r="FI16" t="e">
        <f>AND('2015'!B77,"AAAAAHpzuKQ=")</f>
        <v>#VALUE!</v>
      </c>
      <c r="FJ16" t="e">
        <f>AND('2015'!C77,"AAAAAHpzuKU=")</f>
        <v>#VALUE!</v>
      </c>
      <c r="FK16" t="e">
        <f>AND('2015'!D77,"AAAAAHpzuKY=")</f>
        <v>#VALUE!</v>
      </c>
      <c r="FL16" t="e">
        <f>AND('2015'!E77,"AAAAAHpzuKc=")</f>
        <v>#VALUE!</v>
      </c>
      <c r="FM16" t="e">
        <f>AND('2015'!F77,"AAAAAHpzuKg=")</f>
        <v>#VALUE!</v>
      </c>
      <c r="FN16" t="e">
        <f>AND('2015'!G77,"AAAAAHpzuKk=")</f>
        <v>#VALUE!</v>
      </c>
      <c r="FO16" t="e">
        <f>AND('2015'!H77,"AAAAAHpzuKo=")</f>
        <v>#VALUE!</v>
      </c>
      <c r="FP16" t="e">
        <f>AND('2015'!I77,"AAAAAHpzuKs=")</f>
        <v>#VALUE!</v>
      </c>
      <c r="FQ16" t="e">
        <f>AND('2015'!J77,"AAAAAHpzuKw=")</f>
        <v>#VALUE!</v>
      </c>
      <c r="FR16" t="e">
        <f>AND('2015'!K77,"AAAAAHpzuK0=")</f>
        <v>#VALUE!</v>
      </c>
      <c r="FS16" t="e">
        <f>AND('2015'!L77,"AAAAAHpzuK4=")</f>
        <v>#VALUE!</v>
      </c>
      <c r="FT16" t="e">
        <f>AND('2015'!M77,"AAAAAHpzuK8=")</f>
        <v>#VALUE!</v>
      </c>
      <c r="FU16" t="e">
        <f>AND('2015'!N77,"AAAAAHpzuLA=")</f>
        <v>#VALUE!</v>
      </c>
      <c r="FV16" t="e">
        <f>AND('2015'!O77,"AAAAAHpzuLE=")</f>
        <v>#VALUE!</v>
      </c>
      <c r="FW16" t="e">
        <f>AND('2015'!P77,"AAAAAHpzuLI=")</f>
        <v>#VALUE!</v>
      </c>
      <c r="FX16" t="e">
        <f>AND('2015'!Q77,"AAAAAHpzuLM=")</f>
        <v>#VALUE!</v>
      </c>
      <c r="FY16" t="e">
        <f>AND('2015'!R77,"AAAAAHpzuLQ=")</f>
        <v>#VALUE!</v>
      </c>
      <c r="FZ16" t="e">
        <f>AND('2015'!S77,"AAAAAHpzuLU=")</f>
        <v>#VALUE!</v>
      </c>
      <c r="GA16" t="e">
        <f>AND('2015'!T77,"AAAAAHpzuLY=")</f>
        <v>#VALUE!</v>
      </c>
      <c r="GB16" t="e">
        <f>AND('2015'!U77,"AAAAAHpzuLc=")</f>
        <v>#VALUE!</v>
      </c>
      <c r="GC16" t="e">
        <f>AND('2015'!V77,"AAAAAHpzuLg=")</f>
        <v>#VALUE!</v>
      </c>
      <c r="GD16" t="e">
        <f>AND('2015'!W77,"AAAAAHpzuLk=")</f>
        <v>#VALUE!</v>
      </c>
      <c r="GE16" t="e">
        <f>AND('2015'!X77,"AAAAAHpzuLo=")</f>
        <v>#VALUE!</v>
      </c>
      <c r="GF16" t="e">
        <f>AND('2015'!Y77,"AAAAAHpzuLs=")</f>
        <v>#VALUE!</v>
      </c>
      <c r="GG16" t="e">
        <f>AND('2015'!Z77,"AAAAAHpzuLw=")</f>
        <v>#VALUE!</v>
      </c>
      <c r="GH16" t="e">
        <f>AND('2015'!AA77,"AAAAAHpzuL0=")</f>
        <v>#VALUE!</v>
      </c>
      <c r="GI16" t="e">
        <f>AND('2015'!AB77,"AAAAAHpzuL4=")</f>
        <v>#VALUE!</v>
      </c>
      <c r="GJ16" t="e">
        <f>AND('2015'!AC77,"AAAAAHpzuL8=")</f>
        <v>#VALUE!</v>
      </c>
      <c r="GK16" t="e">
        <f>AND('2015'!AD77,"AAAAAHpzuMA=")</f>
        <v>#VALUE!</v>
      </c>
      <c r="GL16" t="e">
        <f>AND('2015'!AE77,"AAAAAHpzuME=")</f>
        <v>#VALUE!</v>
      </c>
      <c r="GM16" t="e">
        <f>AND('2015'!AF77,"AAAAAHpzuMI=")</f>
        <v>#VALUE!</v>
      </c>
      <c r="GN16" t="e">
        <f>AND('2015'!AG77,"AAAAAHpzuMM=")</f>
        <v>#VALUE!</v>
      </c>
      <c r="GO16" t="e">
        <f>AND('2015'!AH77,"AAAAAHpzuMQ=")</f>
        <v>#VALUE!</v>
      </c>
      <c r="GP16" t="e">
        <f>AND('2015'!AI77,"AAAAAHpzuMU=")</f>
        <v>#VALUE!</v>
      </c>
      <c r="GQ16" t="e">
        <f>AND('2015'!AJ77,"AAAAAHpzuMY=")</f>
        <v>#VALUE!</v>
      </c>
      <c r="GR16" t="e">
        <f>AND('2015'!AK77,"AAAAAHpzuMc=")</f>
        <v>#VALUE!</v>
      </c>
      <c r="GS16" t="e">
        <f>AND('2015'!AL77,"AAAAAHpzuMg=")</f>
        <v>#VALUE!</v>
      </c>
      <c r="GT16" t="e">
        <f>AND('2015'!AM77,"AAAAAHpzuMk=")</f>
        <v>#VALUE!</v>
      </c>
      <c r="GU16" t="e">
        <f>AND('2015'!AN77,"AAAAAHpzuMo=")</f>
        <v>#VALUE!</v>
      </c>
      <c r="GV16" t="e">
        <f>AND('2015'!AO77,"AAAAAHpzuMs=")</f>
        <v>#VALUE!</v>
      </c>
      <c r="GW16" t="e">
        <f>AND('2015'!AP77,"AAAAAHpzuMw=")</f>
        <v>#VALUE!</v>
      </c>
      <c r="GX16" t="e">
        <f>AND('2015'!AQ77,"AAAAAHpzuM0=")</f>
        <v>#VALUE!</v>
      </c>
      <c r="GY16" t="e">
        <f>AND('2015'!AR77,"AAAAAHpzuM4=")</f>
        <v>#VALUE!</v>
      </c>
      <c r="GZ16" t="e">
        <f>AND('2015'!AS77,"AAAAAHpzuM8=")</f>
        <v>#VALUE!</v>
      </c>
      <c r="HA16" t="e">
        <f>AND('2015'!AT77,"AAAAAHpzuNA=")</f>
        <v>#VALUE!</v>
      </c>
      <c r="HB16" t="e">
        <f>AND('2015'!#REF!,"AAAAAHpzuNE=")</f>
        <v>#REF!</v>
      </c>
      <c r="HC16" t="e">
        <f>AND('2015'!AU77,"AAAAAHpzuNI=")</f>
        <v>#VALUE!</v>
      </c>
      <c r="HD16" t="e">
        <f>AND('2015'!AV77,"AAAAAHpzuNM=")</f>
        <v>#VALUE!</v>
      </c>
      <c r="HE16" t="e">
        <f>AND('2015'!AW77,"AAAAAHpzuNQ=")</f>
        <v>#VALUE!</v>
      </c>
      <c r="HF16" t="e">
        <f>AND('2015'!AX77,"AAAAAHpzuNU=")</f>
        <v>#VALUE!</v>
      </c>
      <c r="HG16" t="e">
        <f>AND('2015'!AY77,"AAAAAHpzuNY=")</f>
        <v>#VALUE!</v>
      </c>
      <c r="HH16" t="e">
        <f>AND('2015'!AZ77,"AAAAAHpzuNc=")</f>
        <v>#VALUE!</v>
      </c>
      <c r="HI16" t="e">
        <f>AND('2015'!BA77,"AAAAAHpzuNg=")</f>
        <v>#VALUE!</v>
      </c>
      <c r="HJ16" t="e">
        <f>AND('2015'!BB77,"AAAAAHpzuNk=")</f>
        <v>#VALUE!</v>
      </c>
      <c r="HK16" t="e">
        <f>AND('2015'!BC77,"AAAAAHpzuNo=")</f>
        <v>#VALUE!</v>
      </c>
      <c r="HL16" t="e">
        <f>AND('2015'!BD77,"AAAAAHpzuNs=")</f>
        <v>#VALUE!</v>
      </c>
      <c r="HM16" t="e">
        <f>AND('2015'!BE77,"AAAAAHpzuNw=")</f>
        <v>#VALUE!</v>
      </c>
      <c r="HN16" t="e">
        <f>AND('2015'!BF77,"AAAAAHpzuN0=")</f>
        <v>#VALUE!</v>
      </c>
      <c r="HO16" t="e">
        <f>AND('2015'!BG77,"AAAAAHpzuN4=")</f>
        <v>#VALUE!</v>
      </c>
      <c r="HP16" t="e">
        <f>AND('2015'!BH77,"AAAAAHpzuN8=")</f>
        <v>#VALUE!</v>
      </c>
      <c r="HQ16" t="e">
        <f>AND('2015'!BI77,"AAAAAHpzuOA=")</f>
        <v>#VALUE!</v>
      </c>
      <c r="HR16" t="e">
        <f>AND('2015'!#REF!,"AAAAAHpzuOE=")</f>
        <v>#REF!</v>
      </c>
      <c r="HS16" t="e">
        <f>AND('2015'!BJ77,"AAAAAHpzuOI=")</f>
        <v>#VALUE!</v>
      </c>
      <c r="HT16" t="e">
        <f>AND('2015'!BK77,"AAAAAHpzuOM=")</f>
        <v>#VALUE!</v>
      </c>
      <c r="HU16" t="e">
        <f>AND('2015'!BL77,"AAAAAHpzuOQ=")</f>
        <v>#VALUE!</v>
      </c>
      <c r="HV16" t="e">
        <f>AND('2015'!BM77,"AAAAAHpzuOU=")</f>
        <v>#VALUE!</v>
      </c>
      <c r="HW16" t="e">
        <f>AND('2015'!BY77,"AAAAAHpzuOY=")</f>
        <v>#VALUE!</v>
      </c>
      <c r="HX16">
        <f>IF('2015'!78:78,"AAAAAHpzuOc=",0)</f>
        <v>0</v>
      </c>
      <c r="HY16" t="e">
        <f>AND('2015'!A78,"AAAAAHpzuOg=")</f>
        <v>#VALUE!</v>
      </c>
      <c r="HZ16" t="e">
        <f>AND('2015'!B78,"AAAAAHpzuOk=")</f>
        <v>#VALUE!</v>
      </c>
      <c r="IA16" t="e">
        <f>AND('2015'!C78,"AAAAAHpzuOo=")</f>
        <v>#VALUE!</v>
      </c>
      <c r="IB16" t="e">
        <f>AND('2015'!D78,"AAAAAHpzuOs=")</f>
        <v>#VALUE!</v>
      </c>
      <c r="IC16" t="e">
        <f>AND('2015'!E78,"AAAAAHpzuOw=")</f>
        <v>#VALUE!</v>
      </c>
      <c r="ID16" t="e">
        <f>AND('2015'!F78,"AAAAAHpzuO0=")</f>
        <v>#VALUE!</v>
      </c>
      <c r="IE16" t="e">
        <f>AND('2015'!G78,"AAAAAHpzuO4=")</f>
        <v>#VALUE!</v>
      </c>
      <c r="IF16" t="e">
        <f>AND('2015'!H78,"AAAAAHpzuO8=")</f>
        <v>#VALUE!</v>
      </c>
      <c r="IG16" t="e">
        <f>AND('2015'!I78,"AAAAAHpzuPA=")</f>
        <v>#VALUE!</v>
      </c>
      <c r="IH16" t="e">
        <f>AND('2015'!J78,"AAAAAHpzuPE=")</f>
        <v>#VALUE!</v>
      </c>
      <c r="II16" t="e">
        <f>AND('2015'!K78,"AAAAAHpzuPI=")</f>
        <v>#VALUE!</v>
      </c>
      <c r="IJ16" t="e">
        <f>AND('2015'!L78,"AAAAAHpzuPM=")</f>
        <v>#VALUE!</v>
      </c>
      <c r="IK16" t="e">
        <f>AND('2015'!M78,"AAAAAHpzuPQ=")</f>
        <v>#VALUE!</v>
      </c>
      <c r="IL16" t="e">
        <f>AND('2015'!N78,"AAAAAHpzuPU=")</f>
        <v>#VALUE!</v>
      </c>
      <c r="IM16" t="e">
        <f>AND('2015'!O78,"AAAAAHpzuPY=")</f>
        <v>#VALUE!</v>
      </c>
      <c r="IN16" t="e">
        <f>AND('2015'!P78,"AAAAAHpzuPc=")</f>
        <v>#VALUE!</v>
      </c>
      <c r="IO16" t="e">
        <f>AND('2015'!Q78,"AAAAAHpzuPg=")</f>
        <v>#VALUE!</v>
      </c>
      <c r="IP16" t="e">
        <f>AND('2015'!R78,"AAAAAHpzuPk=")</f>
        <v>#VALUE!</v>
      </c>
      <c r="IQ16" t="e">
        <f>AND('2015'!S78,"AAAAAHpzuPo=")</f>
        <v>#VALUE!</v>
      </c>
      <c r="IR16" t="e">
        <f>AND('2015'!T78,"AAAAAHpzuPs=")</f>
        <v>#VALUE!</v>
      </c>
      <c r="IS16" t="e">
        <f>AND('2015'!U78,"AAAAAHpzuPw=")</f>
        <v>#VALUE!</v>
      </c>
      <c r="IT16" t="e">
        <f>AND('2015'!V78,"AAAAAHpzuP0=")</f>
        <v>#VALUE!</v>
      </c>
      <c r="IU16" t="e">
        <f>AND('2015'!W78,"AAAAAHpzuP4=")</f>
        <v>#VALUE!</v>
      </c>
      <c r="IV16" t="e">
        <f>AND('2015'!X78,"AAAAAHpzuP8=")</f>
        <v>#VALUE!</v>
      </c>
    </row>
    <row r="17" spans="1:256" x14ac:dyDescent="0.25">
      <c r="A17" t="e">
        <f>AND('2015'!Y78,"AAAAAHe5eQA=")</f>
        <v>#VALUE!</v>
      </c>
      <c r="B17" t="e">
        <f>AND('2015'!Z78,"AAAAAHe5eQE=")</f>
        <v>#VALUE!</v>
      </c>
      <c r="C17" t="e">
        <f>AND('2015'!AA78,"AAAAAHe5eQI=")</f>
        <v>#VALUE!</v>
      </c>
      <c r="D17" t="e">
        <f>AND('2015'!AB78,"AAAAAHe5eQM=")</f>
        <v>#VALUE!</v>
      </c>
      <c r="E17" t="e">
        <f>AND('2015'!AC78,"AAAAAHe5eQQ=")</f>
        <v>#VALUE!</v>
      </c>
      <c r="F17" t="e">
        <f>AND('2015'!AD78,"AAAAAHe5eQU=")</f>
        <v>#VALUE!</v>
      </c>
      <c r="G17" t="e">
        <f>AND('2015'!AE78,"AAAAAHe5eQY=")</f>
        <v>#VALUE!</v>
      </c>
      <c r="H17" t="e">
        <f>AND('2015'!AF78,"AAAAAHe5eQc=")</f>
        <v>#VALUE!</v>
      </c>
      <c r="I17" t="e">
        <f>AND('2015'!AG78,"AAAAAHe5eQg=")</f>
        <v>#VALUE!</v>
      </c>
      <c r="J17" t="e">
        <f>AND('2015'!AH78,"AAAAAHe5eQk=")</f>
        <v>#VALUE!</v>
      </c>
      <c r="K17" t="e">
        <f>AND('2015'!AI78,"AAAAAHe5eQo=")</f>
        <v>#VALUE!</v>
      </c>
      <c r="L17" t="e">
        <f>AND('2015'!AJ78,"AAAAAHe5eQs=")</f>
        <v>#VALUE!</v>
      </c>
      <c r="M17" t="e">
        <f>AND('2015'!AK78,"AAAAAHe5eQw=")</f>
        <v>#VALUE!</v>
      </c>
      <c r="N17" t="e">
        <f>AND('2015'!AL78,"AAAAAHe5eQ0=")</f>
        <v>#VALUE!</v>
      </c>
      <c r="O17" t="e">
        <f>AND('2015'!AM78,"AAAAAHe5eQ4=")</f>
        <v>#VALUE!</v>
      </c>
      <c r="P17" t="e">
        <f>AND('2015'!AN78,"AAAAAHe5eQ8=")</f>
        <v>#VALUE!</v>
      </c>
      <c r="Q17" t="e">
        <f>AND('2015'!AO78,"AAAAAHe5eRA=")</f>
        <v>#VALUE!</v>
      </c>
      <c r="R17" t="e">
        <f>AND('2015'!AP78,"AAAAAHe5eRE=")</f>
        <v>#VALUE!</v>
      </c>
      <c r="S17" t="e">
        <f>AND('2015'!AQ78,"AAAAAHe5eRI=")</f>
        <v>#VALUE!</v>
      </c>
      <c r="T17" t="e">
        <f>AND('2015'!AR78,"AAAAAHe5eRM=")</f>
        <v>#VALUE!</v>
      </c>
      <c r="U17" t="e">
        <f>AND('2015'!AS78,"AAAAAHe5eRQ=")</f>
        <v>#VALUE!</v>
      </c>
      <c r="V17" t="e">
        <f>AND('2015'!AT78,"AAAAAHe5eRU=")</f>
        <v>#VALUE!</v>
      </c>
      <c r="W17" t="e">
        <f>AND('2015'!#REF!,"AAAAAHe5eRY=")</f>
        <v>#REF!</v>
      </c>
      <c r="X17" t="e">
        <f>AND('2015'!AU78,"AAAAAHe5eRc=")</f>
        <v>#VALUE!</v>
      </c>
      <c r="Y17" t="e">
        <f>AND('2015'!AV78,"AAAAAHe5eRg=")</f>
        <v>#VALUE!</v>
      </c>
      <c r="Z17" t="e">
        <f>AND('2015'!AW78,"AAAAAHe5eRk=")</f>
        <v>#VALUE!</v>
      </c>
      <c r="AA17" t="e">
        <f>AND('2015'!AX78,"AAAAAHe5eRo=")</f>
        <v>#VALUE!</v>
      </c>
      <c r="AB17" t="e">
        <f>AND('2015'!AY78,"AAAAAHe5eRs=")</f>
        <v>#VALUE!</v>
      </c>
      <c r="AC17" t="e">
        <f>AND('2015'!AZ78,"AAAAAHe5eRw=")</f>
        <v>#VALUE!</v>
      </c>
      <c r="AD17" t="e">
        <f>AND('2015'!BA78,"AAAAAHe5eR0=")</f>
        <v>#VALUE!</v>
      </c>
      <c r="AE17" t="e">
        <f>AND('2015'!BB78,"AAAAAHe5eR4=")</f>
        <v>#VALUE!</v>
      </c>
      <c r="AF17" t="e">
        <f>AND('2015'!BC78,"AAAAAHe5eR8=")</f>
        <v>#VALUE!</v>
      </c>
      <c r="AG17" t="e">
        <f>AND('2015'!BD78,"AAAAAHe5eSA=")</f>
        <v>#VALUE!</v>
      </c>
      <c r="AH17" t="e">
        <f>AND('2015'!BE78,"AAAAAHe5eSE=")</f>
        <v>#VALUE!</v>
      </c>
      <c r="AI17" t="e">
        <f>AND('2015'!BF78,"AAAAAHe5eSI=")</f>
        <v>#VALUE!</v>
      </c>
      <c r="AJ17" t="e">
        <f>AND('2015'!BG78,"AAAAAHe5eSM=")</f>
        <v>#VALUE!</v>
      </c>
      <c r="AK17" t="e">
        <f>AND('2015'!BH78,"AAAAAHe5eSQ=")</f>
        <v>#VALUE!</v>
      </c>
      <c r="AL17" t="e">
        <f>AND('2015'!BI78,"AAAAAHe5eSU=")</f>
        <v>#VALUE!</v>
      </c>
      <c r="AM17" t="e">
        <f>AND('2015'!#REF!,"AAAAAHe5eSY=")</f>
        <v>#REF!</v>
      </c>
      <c r="AN17" t="e">
        <f>AND('2015'!BJ78,"AAAAAHe5eSc=")</f>
        <v>#VALUE!</v>
      </c>
      <c r="AO17" t="e">
        <f>AND('2015'!BK78,"AAAAAHe5eSg=")</f>
        <v>#VALUE!</v>
      </c>
      <c r="AP17" t="e">
        <f>AND('2015'!BL78,"AAAAAHe5eSk=")</f>
        <v>#VALUE!</v>
      </c>
      <c r="AQ17" t="e">
        <f>AND('2015'!BM78,"AAAAAHe5eSo=")</f>
        <v>#VALUE!</v>
      </c>
      <c r="AR17" t="e">
        <f>AND('2015'!BY78,"AAAAAHe5eSs=")</f>
        <v>#VALUE!</v>
      </c>
      <c r="AS17" t="str">
        <f>IF('2015'!79:79,"AAAAAHe5eSw=",0)</f>
        <v>AAAAAHe5eSw=</v>
      </c>
      <c r="AT17" t="e">
        <f>AND('2015'!A79,"AAAAAHe5eS0=")</f>
        <v>#VALUE!</v>
      </c>
      <c r="AU17" t="e">
        <f>AND('2015'!B79,"AAAAAHe5eS4=")</f>
        <v>#VALUE!</v>
      </c>
      <c r="AV17" t="e">
        <f>AND('2015'!#REF!,"AAAAAHe5eS8=")</f>
        <v>#REF!</v>
      </c>
      <c r="AW17" t="e">
        <f>AND('2015'!D79,"AAAAAHe5eTA=")</f>
        <v>#VALUE!</v>
      </c>
      <c r="AX17" t="e">
        <f>AND('2015'!E79,"AAAAAHe5eTE=")</f>
        <v>#VALUE!</v>
      </c>
      <c r="AY17" t="e">
        <f>AND('2015'!F79,"AAAAAHe5eTI=")</f>
        <v>#VALUE!</v>
      </c>
      <c r="AZ17" t="e">
        <f>AND('2015'!G79,"AAAAAHe5eTM=")</f>
        <v>#VALUE!</v>
      </c>
      <c r="BA17" t="e">
        <f>AND('2015'!H79,"AAAAAHe5eTQ=")</f>
        <v>#VALUE!</v>
      </c>
      <c r="BB17" t="e">
        <f>AND('2015'!I79,"AAAAAHe5eTU=")</f>
        <v>#VALUE!</v>
      </c>
      <c r="BC17" t="e">
        <f>AND('2015'!J79,"AAAAAHe5eTY=")</f>
        <v>#VALUE!</v>
      </c>
      <c r="BD17" t="e">
        <f>AND('2015'!K79,"AAAAAHe5eTc=")</f>
        <v>#VALUE!</v>
      </c>
      <c r="BE17" t="e">
        <f>AND('2015'!L79,"AAAAAHe5eTg=")</f>
        <v>#VALUE!</v>
      </c>
      <c r="BF17" t="e">
        <f>AND('2015'!M79,"AAAAAHe5eTk=")</f>
        <v>#VALUE!</v>
      </c>
      <c r="BG17" t="e">
        <f>AND('2015'!N79,"AAAAAHe5eTo=")</f>
        <v>#VALUE!</v>
      </c>
      <c r="BH17" t="e">
        <f>AND('2015'!O79,"AAAAAHe5eTs=")</f>
        <v>#VALUE!</v>
      </c>
      <c r="BI17" t="e">
        <f>AND('2015'!P79,"AAAAAHe5eTw=")</f>
        <v>#VALUE!</v>
      </c>
      <c r="BJ17" t="e">
        <f>AND('2015'!Q79,"AAAAAHe5eT0=")</f>
        <v>#VALUE!</v>
      </c>
      <c r="BK17" t="e">
        <f>AND('2015'!R79,"AAAAAHe5eT4=")</f>
        <v>#VALUE!</v>
      </c>
      <c r="BL17" t="e">
        <f>AND('2015'!S79,"AAAAAHe5eT8=")</f>
        <v>#VALUE!</v>
      </c>
      <c r="BM17" t="e">
        <f>AND('2015'!T79,"AAAAAHe5eUA=")</f>
        <v>#VALUE!</v>
      </c>
      <c r="BN17" t="e">
        <f>AND('2015'!U79,"AAAAAHe5eUE=")</f>
        <v>#VALUE!</v>
      </c>
      <c r="BO17" t="e">
        <f>AND('2015'!V79,"AAAAAHe5eUI=")</f>
        <v>#VALUE!</v>
      </c>
      <c r="BP17" t="e">
        <f>AND('2015'!W79,"AAAAAHe5eUM=")</f>
        <v>#VALUE!</v>
      </c>
      <c r="BQ17" t="e">
        <f>AND('2015'!X79,"AAAAAHe5eUQ=")</f>
        <v>#VALUE!</v>
      </c>
      <c r="BR17" t="e">
        <f>AND('2015'!Y79,"AAAAAHe5eUU=")</f>
        <v>#VALUE!</v>
      </c>
      <c r="BS17" t="e">
        <f>AND('2015'!Z79,"AAAAAHe5eUY=")</f>
        <v>#VALUE!</v>
      </c>
      <c r="BT17" t="e">
        <f>AND('2015'!AA79,"AAAAAHe5eUc=")</f>
        <v>#VALUE!</v>
      </c>
      <c r="BU17" t="e">
        <f>AND('2015'!AB79,"AAAAAHe5eUg=")</f>
        <v>#VALUE!</v>
      </c>
      <c r="BV17" t="e">
        <f>AND('2015'!AC79,"AAAAAHe5eUk=")</f>
        <v>#VALUE!</v>
      </c>
      <c r="BW17" t="e">
        <f>AND('2015'!AD79,"AAAAAHe5eUo=")</f>
        <v>#VALUE!</v>
      </c>
      <c r="BX17" t="e">
        <f>AND('2015'!AE79,"AAAAAHe5eUs=")</f>
        <v>#VALUE!</v>
      </c>
      <c r="BY17" t="e">
        <f>AND('2015'!AF79,"AAAAAHe5eUw=")</f>
        <v>#VALUE!</v>
      </c>
      <c r="BZ17" t="e">
        <f>AND('2015'!AG79,"AAAAAHe5eU0=")</f>
        <v>#VALUE!</v>
      </c>
      <c r="CA17" t="e">
        <f>AND('2015'!AH79,"AAAAAHe5eU4=")</f>
        <v>#VALUE!</v>
      </c>
      <c r="CB17" t="e">
        <f>AND('2015'!AI79,"AAAAAHe5eU8=")</f>
        <v>#VALUE!</v>
      </c>
      <c r="CC17" t="e">
        <f>AND('2015'!AJ79,"AAAAAHe5eVA=")</f>
        <v>#VALUE!</v>
      </c>
      <c r="CD17" t="e">
        <f>AND('2015'!AK79,"AAAAAHe5eVE=")</f>
        <v>#VALUE!</v>
      </c>
      <c r="CE17" t="e">
        <f>AND('2015'!AL79,"AAAAAHe5eVI=")</f>
        <v>#VALUE!</v>
      </c>
      <c r="CF17" t="e">
        <f>AND('2015'!AM79,"AAAAAHe5eVM=")</f>
        <v>#VALUE!</v>
      </c>
      <c r="CG17" t="e">
        <f>AND('2015'!AN79,"AAAAAHe5eVQ=")</f>
        <v>#VALUE!</v>
      </c>
      <c r="CH17" t="e">
        <f>AND('2015'!AO79,"AAAAAHe5eVU=")</f>
        <v>#VALUE!</v>
      </c>
      <c r="CI17" t="e">
        <f>AND('2015'!AP79,"AAAAAHe5eVY=")</f>
        <v>#VALUE!</v>
      </c>
      <c r="CJ17" t="e">
        <f>AND('2015'!AQ79,"AAAAAHe5eVc=")</f>
        <v>#VALUE!</v>
      </c>
      <c r="CK17" t="e">
        <f>AND('2015'!AR79,"AAAAAHe5eVg=")</f>
        <v>#VALUE!</v>
      </c>
      <c r="CL17" t="e">
        <f>AND('2015'!AS79,"AAAAAHe5eVk=")</f>
        <v>#VALUE!</v>
      </c>
      <c r="CM17" t="e">
        <f>AND('2015'!AT79,"AAAAAHe5eVo=")</f>
        <v>#VALUE!</v>
      </c>
      <c r="CN17" t="e">
        <f>AND('2015'!#REF!,"AAAAAHe5eVs=")</f>
        <v>#REF!</v>
      </c>
      <c r="CO17" t="e">
        <f>AND('2015'!AU79,"AAAAAHe5eVw=")</f>
        <v>#VALUE!</v>
      </c>
      <c r="CP17" t="e">
        <f>AND('2015'!AV79,"AAAAAHe5eV0=")</f>
        <v>#VALUE!</v>
      </c>
      <c r="CQ17" t="e">
        <f>AND('2015'!AW79,"AAAAAHe5eV4=")</f>
        <v>#VALUE!</v>
      </c>
      <c r="CR17" t="e">
        <f>AND('2015'!AX79,"AAAAAHe5eV8=")</f>
        <v>#VALUE!</v>
      </c>
      <c r="CS17" t="e">
        <f>AND('2015'!AY79,"AAAAAHe5eWA=")</f>
        <v>#VALUE!</v>
      </c>
      <c r="CT17" t="e">
        <f>AND('2015'!AZ79,"AAAAAHe5eWE=")</f>
        <v>#VALUE!</v>
      </c>
      <c r="CU17" t="e">
        <f>AND('2015'!BA79,"AAAAAHe5eWI=")</f>
        <v>#VALUE!</v>
      </c>
      <c r="CV17" t="e">
        <f>AND('2015'!BB79,"AAAAAHe5eWM=")</f>
        <v>#VALUE!</v>
      </c>
      <c r="CW17" t="e">
        <f>AND('2015'!BC79,"AAAAAHe5eWQ=")</f>
        <v>#VALUE!</v>
      </c>
      <c r="CX17" t="e">
        <f>AND('2015'!BD79,"AAAAAHe5eWU=")</f>
        <v>#VALUE!</v>
      </c>
      <c r="CY17" t="e">
        <f>AND('2015'!BE79,"AAAAAHe5eWY=")</f>
        <v>#VALUE!</v>
      </c>
      <c r="CZ17" t="e">
        <f>AND('2015'!BF79,"AAAAAHe5eWc=")</f>
        <v>#VALUE!</v>
      </c>
      <c r="DA17" t="e">
        <f>AND('2015'!BG79,"AAAAAHe5eWg=")</f>
        <v>#VALUE!</v>
      </c>
      <c r="DB17" t="e">
        <f>AND('2015'!BH79,"AAAAAHe5eWk=")</f>
        <v>#VALUE!</v>
      </c>
      <c r="DC17" t="e">
        <f>AND('2015'!BI79,"AAAAAHe5eWo=")</f>
        <v>#VALUE!</v>
      </c>
      <c r="DD17" t="e">
        <f>AND('2015'!#REF!,"AAAAAHe5eWs=")</f>
        <v>#REF!</v>
      </c>
      <c r="DE17" t="e">
        <f>AND('2015'!BJ79,"AAAAAHe5eWw=")</f>
        <v>#VALUE!</v>
      </c>
      <c r="DF17" t="e">
        <f>AND('2015'!BK79,"AAAAAHe5eW0=")</f>
        <v>#VALUE!</v>
      </c>
      <c r="DG17" t="e">
        <f>AND('2015'!BL79,"AAAAAHe5eW4=")</f>
        <v>#VALUE!</v>
      </c>
      <c r="DH17" t="e">
        <f>AND('2015'!BM79,"AAAAAHe5eW8=")</f>
        <v>#VALUE!</v>
      </c>
      <c r="DI17" t="e">
        <f>AND('2015'!BY79,"AAAAAHe5eXA=")</f>
        <v>#VALUE!</v>
      </c>
      <c r="DJ17">
        <f>IF('2015'!80:80,"AAAAAHe5eXE=",0)</f>
        <v>0</v>
      </c>
      <c r="DK17" t="e">
        <f>AND('2015'!A80,"AAAAAHe5eXI=")</f>
        <v>#VALUE!</v>
      </c>
      <c r="DL17" t="e">
        <f>AND('2015'!B80,"AAAAAHe5eXM=")</f>
        <v>#VALUE!</v>
      </c>
      <c r="DM17" t="e">
        <f>AND('2015'!C80,"AAAAAHe5eXQ=")</f>
        <v>#VALUE!</v>
      </c>
      <c r="DN17" t="e">
        <f>AND('2015'!D80,"AAAAAHe5eXU=")</f>
        <v>#VALUE!</v>
      </c>
      <c r="DO17" t="e">
        <f>AND('2015'!E80,"AAAAAHe5eXY=")</f>
        <v>#VALUE!</v>
      </c>
      <c r="DP17" t="e">
        <f>AND('2015'!F80,"AAAAAHe5eXc=")</f>
        <v>#VALUE!</v>
      </c>
      <c r="DQ17" t="e">
        <f>AND('2015'!G80,"AAAAAHe5eXg=")</f>
        <v>#VALUE!</v>
      </c>
      <c r="DR17" t="e">
        <f>AND('2015'!H80,"AAAAAHe5eXk=")</f>
        <v>#VALUE!</v>
      </c>
      <c r="DS17" t="e">
        <f>AND('2015'!I80,"AAAAAHe5eXo=")</f>
        <v>#VALUE!</v>
      </c>
      <c r="DT17" t="e">
        <f>AND('2015'!J80,"AAAAAHe5eXs=")</f>
        <v>#VALUE!</v>
      </c>
      <c r="DU17" t="e">
        <f>AND('2015'!K80,"AAAAAHe5eXw=")</f>
        <v>#VALUE!</v>
      </c>
      <c r="DV17" t="e">
        <f>AND('2015'!L80,"AAAAAHe5eX0=")</f>
        <v>#VALUE!</v>
      </c>
      <c r="DW17" t="e">
        <f>AND('2015'!M80,"AAAAAHe5eX4=")</f>
        <v>#VALUE!</v>
      </c>
      <c r="DX17" t="e">
        <f>AND('2015'!N80,"AAAAAHe5eX8=")</f>
        <v>#VALUE!</v>
      </c>
      <c r="DY17" t="e">
        <f>AND('2015'!O80,"AAAAAHe5eYA=")</f>
        <v>#VALUE!</v>
      </c>
      <c r="DZ17" t="e">
        <f>AND('2015'!P80,"AAAAAHe5eYE=")</f>
        <v>#VALUE!</v>
      </c>
      <c r="EA17" t="e">
        <f>AND('2015'!Q80,"AAAAAHe5eYI=")</f>
        <v>#VALUE!</v>
      </c>
      <c r="EB17" t="e">
        <f>AND('2015'!R80,"AAAAAHe5eYM=")</f>
        <v>#VALUE!</v>
      </c>
      <c r="EC17" t="e">
        <f>AND('2015'!S80,"AAAAAHe5eYQ=")</f>
        <v>#VALUE!</v>
      </c>
      <c r="ED17" t="e">
        <f>AND('2015'!T80,"AAAAAHe5eYU=")</f>
        <v>#VALUE!</v>
      </c>
      <c r="EE17" t="e">
        <f>AND('2015'!U80,"AAAAAHe5eYY=")</f>
        <v>#VALUE!</v>
      </c>
      <c r="EF17" t="e">
        <f>AND('2015'!V80,"AAAAAHe5eYc=")</f>
        <v>#VALUE!</v>
      </c>
      <c r="EG17" t="e">
        <f>AND('2015'!W80,"AAAAAHe5eYg=")</f>
        <v>#VALUE!</v>
      </c>
      <c r="EH17" t="e">
        <f>AND('2015'!X80,"AAAAAHe5eYk=")</f>
        <v>#VALUE!</v>
      </c>
      <c r="EI17" t="e">
        <f>AND('2015'!Y80,"AAAAAHe5eYo=")</f>
        <v>#VALUE!</v>
      </c>
      <c r="EJ17" t="e">
        <f>AND('2015'!Z80,"AAAAAHe5eYs=")</f>
        <v>#VALUE!</v>
      </c>
      <c r="EK17" t="e">
        <f>AND('2015'!AA80,"AAAAAHe5eYw=")</f>
        <v>#VALUE!</v>
      </c>
      <c r="EL17" t="e">
        <f>AND('2015'!AB80,"AAAAAHe5eY0=")</f>
        <v>#VALUE!</v>
      </c>
      <c r="EM17" t="e">
        <f>AND('2015'!AC80,"AAAAAHe5eY4=")</f>
        <v>#VALUE!</v>
      </c>
      <c r="EN17" t="e">
        <f>AND('2015'!AD80,"AAAAAHe5eY8=")</f>
        <v>#VALUE!</v>
      </c>
      <c r="EO17" t="e">
        <f>AND('2015'!AE80,"AAAAAHe5eZA=")</f>
        <v>#VALUE!</v>
      </c>
      <c r="EP17" t="e">
        <f>AND('2015'!AF80,"AAAAAHe5eZE=")</f>
        <v>#VALUE!</v>
      </c>
      <c r="EQ17" t="e">
        <f>AND('2015'!AG80,"AAAAAHe5eZI=")</f>
        <v>#VALUE!</v>
      </c>
      <c r="ER17" t="e">
        <f>AND('2015'!AH80,"AAAAAHe5eZM=")</f>
        <v>#VALUE!</v>
      </c>
      <c r="ES17" t="e">
        <f>AND('2015'!AI80,"AAAAAHe5eZQ=")</f>
        <v>#VALUE!</v>
      </c>
      <c r="ET17" t="e">
        <f>AND('2015'!AJ80,"AAAAAHe5eZU=")</f>
        <v>#VALUE!</v>
      </c>
      <c r="EU17" t="e">
        <f>AND('2015'!AK80,"AAAAAHe5eZY=")</f>
        <v>#VALUE!</v>
      </c>
      <c r="EV17" t="e">
        <f>AND('2015'!AL80,"AAAAAHe5eZc=")</f>
        <v>#VALUE!</v>
      </c>
      <c r="EW17" t="e">
        <f>AND('2015'!AM80,"AAAAAHe5eZg=")</f>
        <v>#VALUE!</v>
      </c>
      <c r="EX17" t="e">
        <f>AND('2015'!AN80,"AAAAAHe5eZk=")</f>
        <v>#VALUE!</v>
      </c>
      <c r="EY17" t="e">
        <f>AND('2015'!AO80,"AAAAAHe5eZo=")</f>
        <v>#VALUE!</v>
      </c>
      <c r="EZ17" t="e">
        <f>AND('2015'!AP80,"AAAAAHe5eZs=")</f>
        <v>#VALUE!</v>
      </c>
      <c r="FA17" t="e">
        <f>AND('2015'!AQ80,"AAAAAHe5eZw=")</f>
        <v>#VALUE!</v>
      </c>
      <c r="FB17" t="e">
        <f>AND('2015'!AR80,"AAAAAHe5eZ0=")</f>
        <v>#VALUE!</v>
      </c>
      <c r="FC17" t="e">
        <f>AND('2015'!AS80,"AAAAAHe5eZ4=")</f>
        <v>#VALUE!</v>
      </c>
      <c r="FD17" t="e">
        <f>AND('2015'!AT80,"AAAAAHe5eZ8=")</f>
        <v>#VALUE!</v>
      </c>
      <c r="FE17" t="e">
        <f>AND('2015'!#REF!,"AAAAAHe5eaA=")</f>
        <v>#REF!</v>
      </c>
      <c r="FF17" t="e">
        <f>AND('2015'!AU80,"AAAAAHe5eaE=")</f>
        <v>#VALUE!</v>
      </c>
      <c r="FG17" t="e">
        <f>AND('2015'!AV80,"AAAAAHe5eaI=")</f>
        <v>#VALUE!</v>
      </c>
      <c r="FH17" t="e">
        <f>AND('2015'!AW80,"AAAAAHe5eaM=")</f>
        <v>#VALUE!</v>
      </c>
      <c r="FI17" t="e">
        <f>AND('2015'!AX80,"AAAAAHe5eaQ=")</f>
        <v>#VALUE!</v>
      </c>
      <c r="FJ17" t="e">
        <f>AND('2015'!AY80,"AAAAAHe5eaU=")</f>
        <v>#VALUE!</v>
      </c>
      <c r="FK17" t="e">
        <f>AND('2015'!AZ80,"AAAAAHe5eaY=")</f>
        <v>#VALUE!</v>
      </c>
      <c r="FL17" t="e">
        <f>AND('2015'!BA80,"AAAAAHe5eac=")</f>
        <v>#VALUE!</v>
      </c>
      <c r="FM17" t="e">
        <f>AND('2015'!BB80,"AAAAAHe5eag=")</f>
        <v>#VALUE!</v>
      </c>
      <c r="FN17" t="e">
        <f>AND('2015'!BC80,"AAAAAHe5eak=")</f>
        <v>#VALUE!</v>
      </c>
      <c r="FO17" t="e">
        <f>AND('2015'!BD80,"AAAAAHe5eao=")</f>
        <v>#VALUE!</v>
      </c>
      <c r="FP17" t="e">
        <f>AND('2015'!BE80,"AAAAAHe5eas=")</f>
        <v>#VALUE!</v>
      </c>
      <c r="FQ17" t="e">
        <f>AND('2015'!BF80,"AAAAAHe5eaw=")</f>
        <v>#VALUE!</v>
      </c>
      <c r="FR17" t="e">
        <f>AND('2015'!BG80,"AAAAAHe5ea0=")</f>
        <v>#VALUE!</v>
      </c>
      <c r="FS17" t="e">
        <f>AND('2015'!BH80,"AAAAAHe5ea4=")</f>
        <v>#VALUE!</v>
      </c>
      <c r="FT17" t="e">
        <f>AND('2015'!BI80,"AAAAAHe5ea8=")</f>
        <v>#VALUE!</v>
      </c>
      <c r="FU17" t="e">
        <f>AND('2015'!#REF!,"AAAAAHe5ebA=")</f>
        <v>#REF!</v>
      </c>
      <c r="FV17" t="e">
        <f>AND('2015'!BJ80,"AAAAAHe5ebE=")</f>
        <v>#VALUE!</v>
      </c>
      <c r="FW17" t="e">
        <f>AND('2015'!BK80,"AAAAAHe5ebI=")</f>
        <v>#VALUE!</v>
      </c>
      <c r="FX17" t="e">
        <f>AND('2015'!BL80,"AAAAAHe5ebM=")</f>
        <v>#VALUE!</v>
      </c>
      <c r="FY17" t="e">
        <f>AND('2015'!BM80,"AAAAAHe5ebQ=")</f>
        <v>#VALUE!</v>
      </c>
      <c r="FZ17" t="e">
        <f>AND('2015'!BY80,"AAAAAHe5ebU=")</f>
        <v>#VALUE!</v>
      </c>
      <c r="GA17">
        <f>IF('2015'!16:16,"AAAAAHe5ebY=",0)</f>
        <v>0</v>
      </c>
      <c r="GB17" t="e">
        <f>AND('2015'!A16,"AAAAAHe5ebc=")</f>
        <v>#VALUE!</v>
      </c>
      <c r="GC17" t="e">
        <f>AND('2015'!B16,"AAAAAHe5ebg=")</f>
        <v>#VALUE!</v>
      </c>
      <c r="GD17" t="e">
        <f>AND('2015'!C16,"AAAAAHe5ebk=")</f>
        <v>#VALUE!</v>
      </c>
      <c r="GE17" t="e">
        <f>AND('2015'!D16,"AAAAAHe5ebo=")</f>
        <v>#VALUE!</v>
      </c>
      <c r="GF17" t="e">
        <f>AND('2015'!E16,"AAAAAHe5ebs=")</f>
        <v>#VALUE!</v>
      </c>
      <c r="GG17" t="e">
        <f>AND('2015'!F16,"AAAAAHe5ebw=")</f>
        <v>#VALUE!</v>
      </c>
      <c r="GH17" t="e">
        <f>AND('2015'!G16,"AAAAAHe5eb0=")</f>
        <v>#VALUE!</v>
      </c>
      <c r="GI17" t="e">
        <f>AND('2015'!H16,"AAAAAHe5eb4=")</f>
        <v>#VALUE!</v>
      </c>
      <c r="GJ17" t="e">
        <f>AND('2015'!I16,"AAAAAHe5eb8=")</f>
        <v>#VALUE!</v>
      </c>
      <c r="GK17" t="e">
        <f>AND('2015'!J16,"AAAAAHe5ecA=")</f>
        <v>#VALUE!</v>
      </c>
      <c r="GL17" t="e">
        <f>AND('2015'!K16,"AAAAAHe5ecE=")</f>
        <v>#VALUE!</v>
      </c>
      <c r="GM17" t="e">
        <f>AND('2015'!L16,"AAAAAHe5ecI=")</f>
        <v>#VALUE!</v>
      </c>
      <c r="GN17" t="e">
        <f>AND('2015'!M16,"AAAAAHe5ecM=")</f>
        <v>#VALUE!</v>
      </c>
      <c r="GO17" t="e">
        <f>AND('2015'!N16,"AAAAAHe5ecQ=")</f>
        <v>#VALUE!</v>
      </c>
      <c r="GP17" t="e">
        <f>AND('2015'!O16,"AAAAAHe5ecU=")</f>
        <v>#VALUE!</v>
      </c>
      <c r="GQ17" t="e">
        <f>AND('2015'!P16,"AAAAAHe5ecY=")</f>
        <v>#VALUE!</v>
      </c>
      <c r="GR17" t="e">
        <f>AND('2015'!Q16,"AAAAAHe5ecc=")</f>
        <v>#VALUE!</v>
      </c>
      <c r="GS17" t="e">
        <f>AND('2015'!R16,"AAAAAHe5ecg=")</f>
        <v>#VALUE!</v>
      </c>
      <c r="GT17" t="e">
        <f>AND('2015'!S16,"AAAAAHe5eck=")</f>
        <v>#VALUE!</v>
      </c>
      <c r="GU17" t="e">
        <f>AND('2015'!T16,"AAAAAHe5eco=")</f>
        <v>#VALUE!</v>
      </c>
      <c r="GV17" t="e">
        <f>AND('2015'!U16,"AAAAAHe5ecs=")</f>
        <v>#VALUE!</v>
      </c>
      <c r="GW17" t="e">
        <f>AND('2015'!V16,"AAAAAHe5ecw=")</f>
        <v>#VALUE!</v>
      </c>
      <c r="GX17" t="e">
        <f>AND('2015'!W16,"AAAAAHe5ec0=")</f>
        <v>#VALUE!</v>
      </c>
      <c r="GY17" t="e">
        <f>AND('2015'!X16,"AAAAAHe5ec4=")</f>
        <v>#VALUE!</v>
      </c>
      <c r="GZ17" t="e">
        <f>AND('2015'!Y16,"AAAAAHe5ec8=")</f>
        <v>#VALUE!</v>
      </c>
      <c r="HA17" t="e">
        <f>AND('2015'!Z16,"AAAAAHe5edA=")</f>
        <v>#VALUE!</v>
      </c>
      <c r="HB17" t="e">
        <f>AND('2015'!AA16,"AAAAAHe5edE=")</f>
        <v>#VALUE!</v>
      </c>
      <c r="HC17" t="e">
        <f>AND('2015'!AB16,"AAAAAHe5edI=")</f>
        <v>#VALUE!</v>
      </c>
      <c r="HD17" t="e">
        <f>AND('2015'!AC16,"AAAAAHe5edM=")</f>
        <v>#VALUE!</v>
      </c>
      <c r="HE17" t="e">
        <f>AND('2015'!AD16,"AAAAAHe5edQ=")</f>
        <v>#VALUE!</v>
      </c>
      <c r="HF17" t="e">
        <f>AND('2015'!AE16,"AAAAAHe5edU=")</f>
        <v>#VALUE!</v>
      </c>
      <c r="HG17" t="e">
        <f>AND('2015'!AF16,"AAAAAHe5edY=")</f>
        <v>#VALUE!</v>
      </c>
      <c r="HH17" t="e">
        <f>AND('2015'!AG16,"AAAAAHe5edc=")</f>
        <v>#VALUE!</v>
      </c>
      <c r="HI17" t="e">
        <f>AND('2015'!AH16,"AAAAAHe5edg=")</f>
        <v>#VALUE!</v>
      </c>
      <c r="HJ17" t="e">
        <f>AND('2015'!AI16,"AAAAAHe5edk=")</f>
        <v>#VALUE!</v>
      </c>
      <c r="HK17" t="e">
        <f>AND('2015'!AJ16,"AAAAAHe5edo=")</f>
        <v>#VALUE!</v>
      </c>
      <c r="HL17" t="e">
        <f>AND('2015'!AK16,"AAAAAHe5eds=")</f>
        <v>#VALUE!</v>
      </c>
      <c r="HM17" t="e">
        <f>AND('2015'!AL16,"AAAAAHe5edw=")</f>
        <v>#VALUE!</v>
      </c>
      <c r="HN17" t="e">
        <f>AND('2015'!AM16,"AAAAAHe5ed0=")</f>
        <v>#VALUE!</v>
      </c>
      <c r="HO17" t="e">
        <f>AND('2015'!AN16,"AAAAAHe5ed4=")</f>
        <v>#VALUE!</v>
      </c>
      <c r="HP17" t="e">
        <f>AND('2015'!AO16,"AAAAAHe5ed8=")</f>
        <v>#VALUE!</v>
      </c>
      <c r="HQ17" t="e">
        <f>AND('2015'!AP16,"AAAAAHe5eeA=")</f>
        <v>#VALUE!</v>
      </c>
      <c r="HR17" t="e">
        <f>AND('2015'!AQ16,"AAAAAHe5eeE=")</f>
        <v>#VALUE!</v>
      </c>
      <c r="HS17" t="e">
        <f>AND('2015'!AR16,"AAAAAHe5eeI=")</f>
        <v>#VALUE!</v>
      </c>
      <c r="HT17" t="e">
        <f>AND('2015'!AS16,"AAAAAHe5eeM=")</f>
        <v>#VALUE!</v>
      </c>
      <c r="HU17" t="e">
        <f>AND('2015'!AT16,"AAAAAHe5eeQ=")</f>
        <v>#VALUE!</v>
      </c>
      <c r="HV17" t="e">
        <f>AND('2015'!#REF!,"AAAAAHe5eeU=")</f>
        <v>#REF!</v>
      </c>
      <c r="HW17" t="e">
        <f>AND('2015'!AU16,"AAAAAHe5eeY=")</f>
        <v>#VALUE!</v>
      </c>
      <c r="HX17" t="e">
        <f>AND('2015'!AV16,"AAAAAHe5eec=")</f>
        <v>#VALUE!</v>
      </c>
      <c r="HY17" t="e">
        <f>AND('2015'!AW16,"AAAAAHe5eeg=")</f>
        <v>#VALUE!</v>
      </c>
      <c r="HZ17" t="e">
        <f>AND('2015'!AX16,"AAAAAHe5eek=")</f>
        <v>#VALUE!</v>
      </c>
      <c r="IA17" t="e">
        <f>AND('2015'!AY16,"AAAAAHe5eeo=")</f>
        <v>#VALUE!</v>
      </c>
      <c r="IB17" t="e">
        <f>AND('2015'!AZ16,"AAAAAHe5ees=")</f>
        <v>#VALUE!</v>
      </c>
      <c r="IC17" t="e">
        <f>AND('2015'!BA16,"AAAAAHe5eew=")</f>
        <v>#VALUE!</v>
      </c>
      <c r="ID17" t="e">
        <f>AND('2015'!BB16,"AAAAAHe5ee0=")</f>
        <v>#VALUE!</v>
      </c>
      <c r="IE17" t="e">
        <f>AND('2015'!BC16,"AAAAAHe5ee4=")</f>
        <v>#VALUE!</v>
      </c>
      <c r="IF17" t="e">
        <f>AND('2015'!BD16,"AAAAAHe5ee8=")</f>
        <v>#VALUE!</v>
      </c>
      <c r="IG17" t="e">
        <f>AND('2015'!BE16,"AAAAAHe5efA=")</f>
        <v>#VALUE!</v>
      </c>
      <c r="IH17" t="e">
        <f>AND('2015'!BF16,"AAAAAHe5efE=")</f>
        <v>#VALUE!</v>
      </c>
      <c r="II17" t="e">
        <f>AND('2015'!BG16,"AAAAAHe5efI=")</f>
        <v>#VALUE!</v>
      </c>
      <c r="IJ17" t="e">
        <f>AND('2015'!BH16,"AAAAAHe5efM=")</f>
        <v>#VALUE!</v>
      </c>
      <c r="IK17" t="e">
        <f>AND('2015'!BI16,"AAAAAHe5efQ=")</f>
        <v>#VALUE!</v>
      </c>
      <c r="IL17" t="e">
        <f>AND('2015'!#REF!,"AAAAAHe5efU=")</f>
        <v>#REF!</v>
      </c>
      <c r="IM17" t="e">
        <f>AND('2015'!BJ16,"AAAAAHe5efY=")</f>
        <v>#VALUE!</v>
      </c>
      <c r="IN17" t="e">
        <f>AND('2015'!BK16,"AAAAAHe5efc=")</f>
        <v>#VALUE!</v>
      </c>
      <c r="IO17" t="e">
        <f>AND('2015'!BL16,"AAAAAHe5efg=")</f>
        <v>#VALUE!</v>
      </c>
      <c r="IP17" t="e">
        <f>AND('2015'!BM16,"AAAAAHe5efk=")</f>
        <v>#VALUE!</v>
      </c>
      <c r="IQ17" t="e">
        <f>AND('2015'!BY16,"AAAAAHe5efo=")</f>
        <v>#VALUE!</v>
      </c>
      <c r="IR17">
        <f>IF('2015'!20:20,"AAAAAHe5efs=",0)</f>
        <v>0</v>
      </c>
      <c r="IS17" t="e">
        <f>AND('2015'!A20,"AAAAAHe5efw=")</f>
        <v>#VALUE!</v>
      </c>
      <c r="IT17" t="e">
        <f>AND('2015'!B20,"AAAAAHe5ef0=")</f>
        <v>#VALUE!</v>
      </c>
      <c r="IU17" t="e">
        <f>AND('2015'!C20,"AAAAAHe5ef4=")</f>
        <v>#VALUE!</v>
      </c>
      <c r="IV17" t="e">
        <f>AND('2015'!D20,"AAAAAHe5ef8=")</f>
        <v>#VALUE!</v>
      </c>
    </row>
    <row r="18" spans="1:256" x14ac:dyDescent="0.25">
      <c r="A18" t="e">
        <f>AND('2015'!E20,"AAAAACe//QA=")</f>
        <v>#VALUE!</v>
      </c>
      <c r="B18" t="e">
        <f>AND('2015'!F20,"AAAAACe//QE=")</f>
        <v>#VALUE!</v>
      </c>
      <c r="C18" t="e">
        <f>AND('2015'!G20,"AAAAACe//QI=")</f>
        <v>#VALUE!</v>
      </c>
      <c r="D18" t="e">
        <f>AND('2015'!H20,"AAAAACe//QM=")</f>
        <v>#VALUE!</v>
      </c>
      <c r="E18" t="e">
        <f>AND('2015'!I20,"AAAAACe//QQ=")</f>
        <v>#VALUE!</v>
      </c>
      <c r="F18" t="e">
        <f>AND('2015'!J20,"AAAAACe//QU=")</f>
        <v>#VALUE!</v>
      </c>
      <c r="G18" t="e">
        <f>AND('2015'!K20,"AAAAACe//QY=")</f>
        <v>#VALUE!</v>
      </c>
      <c r="H18" t="e">
        <f>AND('2015'!L20,"AAAAACe//Qc=")</f>
        <v>#VALUE!</v>
      </c>
      <c r="I18" t="e">
        <f>AND('2015'!M20,"AAAAACe//Qg=")</f>
        <v>#VALUE!</v>
      </c>
      <c r="J18" t="e">
        <f>AND('2015'!N20,"AAAAACe//Qk=")</f>
        <v>#VALUE!</v>
      </c>
      <c r="K18" t="e">
        <f>AND('2015'!O20,"AAAAACe//Qo=")</f>
        <v>#VALUE!</v>
      </c>
      <c r="L18" t="e">
        <f>AND('2015'!P20,"AAAAACe//Qs=")</f>
        <v>#VALUE!</v>
      </c>
      <c r="M18" t="e">
        <f>AND('2015'!Q20,"AAAAACe//Qw=")</f>
        <v>#VALUE!</v>
      </c>
      <c r="N18" t="e">
        <f>AND('2015'!R20,"AAAAACe//Q0=")</f>
        <v>#VALUE!</v>
      </c>
      <c r="O18" t="e">
        <f>AND('2015'!S20,"AAAAACe//Q4=")</f>
        <v>#VALUE!</v>
      </c>
      <c r="P18" t="e">
        <f>AND('2015'!T20,"AAAAACe//Q8=")</f>
        <v>#VALUE!</v>
      </c>
      <c r="Q18" t="e">
        <f>AND('2015'!U20,"AAAAACe//RA=")</f>
        <v>#VALUE!</v>
      </c>
      <c r="R18" t="e">
        <f>AND('2015'!V20,"AAAAACe//RE=")</f>
        <v>#VALUE!</v>
      </c>
      <c r="S18" t="e">
        <f>AND('2015'!W20,"AAAAACe//RI=")</f>
        <v>#VALUE!</v>
      </c>
      <c r="T18" t="e">
        <f>AND('2015'!X20,"AAAAACe//RM=")</f>
        <v>#VALUE!</v>
      </c>
      <c r="U18" t="e">
        <f>AND('2015'!Y20,"AAAAACe//RQ=")</f>
        <v>#VALUE!</v>
      </c>
      <c r="V18" t="e">
        <f>AND('2015'!Z20,"AAAAACe//RU=")</f>
        <v>#VALUE!</v>
      </c>
      <c r="W18" t="e">
        <f>AND('2015'!AA20,"AAAAACe//RY=")</f>
        <v>#VALUE!</v>
      </c>
      <c r="X18" t="e">
        <f>AND('2015'!AB20,"AAAAACe//Rc=")</f>
        <v>#VALUE!</v>
      </c>
      <c r="Y18" t="e">
        <f>AND('2015'!AC20,"AAAAACe//Rg=")</f>
        <v>#VALUE!</v>
      </c>
      <c r="Z18" t="e">
        <f>AND('2015'!AD20,"AAAAACe//Rk=")</f>
        <v>#VALUE!</v>
      </c>
      <c r="AA18" t="e">
        <f>AND('2015'!AE20,"AAAAACe//Ro=")</f>
        <v>#VALUE!</v>
      </c>
      <c r="AB18" t="e">
        <f>AND('2015'!AF20,"AAAAACe//Rs=")</f>
        <v>#VALUE!</v>
      </c>
      <c r="AC18" t="e">
        <f>AND('2015'!AG20,"AAAAACe//Rw=")</f>
        <v>#VALUE!</v>
      </c>
      <c r="AD18" t="e">
        <f>AND('2015'!AH20,"AAAAACe//R0=")</f>
        <v>#VALUE!</v>
      </c>
      <c r="AE18" t="e">
        <f>AND('2015'!AI20,"AAAAACe//R4=")</f>
        <v>#VALUE!</v>
      </c>
      <c r="AF18" t="e">
        <f>AND('2015'!AJ20,"AAAAACe//R8=")</f>
        <v>#VALUE!</v>
      </c>
      <c r="AG18" t="e">
        <f>AND('2015'!AK20,"AAAAACe//SA=")</f>
        <v>#VALUE!</v>
      </c>
      <c r="AH18" t="e">
        <f>AND('2015'!AL20,"AAAAACe//SE=")</f>
        <v>#VALUE!</v>
      </c>
      <c r="AI18" t="e">
        <f>AND('2015'!AM20,"AAAAACe//SI=")</f>
        <v>#VALUE!</v>
      </c>
      <c r="AJ18" t="e">
        <f>AND('2015'!AN20,"AAAAACe//SM=")</f>
        <v>#VALUE!</v>
      </c>
      <c r="AK18" t="e">
        <f>AND('2015'!AO20,"AAAAACe//SQ=")</f>
        <v>#VALUE!</v>
      </c>
      <c r="AL18" t="e">
        <f>AND('2015'!AP20,"AAAAACe//SU=")</f>
        <v>#VALUE!</v>
      </c>
      <c r="AM18" t="e">
        <f>AND('2015'!AQ20,"AAAAACe//SY=")</f>
        <v>#VALUE!</v>
      </c>
      <c r="AN18" t="e">
        <f>AND('2015'!AR20,"AAAAACe//Sc=")</f>
        <v>#VALUE!</v>
      </c>
      <c r="AO18" t="e">
        <f>AND('2015'!AS20,"AAAAACe//Sg=")</f>
        <v>#VALUE!</v>
      </c>
      <c r="AP18" t="e">
        <f>AND('2015'!AT20,"AAAAACe//Sk=")</f>
        <v>#VALUE!</v>
      </c>
      <c r="AQ18" t="e">
        <f>AND('2015'!#REF!,"AAAAACe//So=")</f>
        <v>#REF!</v>
      </c>
      <c r="AR18" t="e">
        <f>AND('2015'!AU20,"AAAAACe//Ss=")</f>
        <v>#VALUE!</v>
      </c>
      <c r="AS18" t="e">
        <f>AND('2015'!AV20,"AAAAACe//Sw=")</f>
        <v>#VALUE!</v>
      </c>
      <c r="AT18" t="e">
        <f>AND('2015'!AW20,"AAAAACe//S0=")</f>
        <v>#VALUE!</v>
      </c>
      <c r="AU18" t="e">
        <f>AND('2015'!AX20,"AAAAACe//S4=")</f>
        <v>#VALUE!</v>
      </c>
      <c r="AV18" t="e">
        <f>AND('2015'!AY20,"AAAAACe//S8=")</f>
        <v>#VALUE!</v>
      </c>
      <c r="AW18" t="e">
        <f>AND('2015'!AZ20,"AAAAACe//TA=")</f>
        <v>#VALUE!</v>
      </c>
      <c r="AX18" t="e">
        <f>AND('2015'!BA20,"AAAAACe//TE=")</f>
        <v>#VALUE!</v>
      </c>
      <c r="AY18" t="e">
        <f>AND('2015'!BB20,"AAAAACe//TI=")</f>
        <v>#VALUE!</v>
      </c>
      <c r="AZ18" t="e">
        <f>AND('2015'!BC20,"AAAAACe//TM=")</f>
        <v>#VALUE!</v>
      </c>
      <c r="BA18" t="e">
        <f>AND('2015'!BD20,"AAAAACe//TQ=")</f>
        <v>#VALUE!</v>
      </c>
      <c r="BB18" t="e">
        <f>AND('2015'!BE20,"AAAAACe//TU=")</f>
        <v>#VALUE!</v>
      </c>
      <c r="BC18" t="e">
        <f>AND('2015'!BF20,"AAAAACe//TY=")</f>
        <v>#VALUE!</v>
      </c>
      <c r="BD18" t="e">
        <f>AND('2015'!BG20,"AAAAACe//Tc=")</f>
        <v>#VALUE!</v>
      </c>
      <c r="BE18" t="e">
        <f>AND('2015'!BH20,"AAAAACe//Tg=")</f>
        <v>#VALUE!</v>
      </c>
      <c r="BF18" t="e">
        <f>AND('2015'!BI20,"AAAAACe//Tk=")</f>
        <v>#VALUE!</v>
      </c>
      <c r="BG18" t="e">
        <f>AND('2015'!#REF!,"AAAAACe//To=")</f>
        <v>#REF!</v>
      </c>
      <c r="BH18" t="e">
        <f>AND('2015'!BJ20,"AAAAACe//Ts=")</f>
        <v>#VALUE!</v>
      </c>
      <c r="BI18" t="e">
        <f>AND('2015'!BK20,"AAAAACe//Tw=")</f>
        <v>#VALUE!</v>
      </c>
      <c r="BJ18" t="e">
        <f>AND('2015'!BL20,"AAAAACe//T0=")</f>
        <v>#VALUE!</v>
      </c>
      <c r="BK18" t="e">
        <f>AND('2015'!BM20,"AAAAACe//T4=")</f>
        <v>#VALUE!</v>
      </c>
      <c r="BL18" t="e">
        <f>AND('2015'!BY20,"AAAAACe//T8=")</f>
        <v>#VALUE!</v>
      </c>
      <c r="BM18" t="str">
        <f>IF('2015'!81:81,"AAAAACe//UA=",0)</f>
        <v>AAAAACe//UA=</v>
      </c>
      <c r="BN18" t="e">
        <f>AND('2015'!A81,"AAAAACe//UE=")</f>
        <v>#VALUE!</v>
      </c>
      <c r="BO18" t="e">
        <f>AND('2015'!B81,"AAAAACe//UI=")</f>
        <v>#VALUE!</v>
      </c>
      <c r="BP18" t="e">
        <f>AND('2015'!C81,"AAAAACe//UM=")</f>
        <v>#VALUE!</v>
      </c>
      <c r="BQ18" t="e">
        <f>AND('2015'!D81,"AAAAACe//UQ=")</f>
        <v>#VALUE!</v>
      </c>
      <c r="BR18" t="e">
        <f>AND('2015'!E81,"AAAAACe//UU=")</f>
        <v>#VALUE!</v>
      </c>
      <c r="BS18" t="e">
        <f>AND('2015'!F81,"AAAAACe//UY=")</f>
        <v>#VALUE!</v>
      </c>
      <c r="BT18" t="e">
        <f>AND('2015'!G81,"AAAAACe//Uc=")</f>
        <v>#VALUE!</v>
      </c>
      <c r="BU18" t="e">
        <f>AND('2015'!H81,"AAAAACe//Ug=")</f>
        <v>#VALUE!</v>
      </c>
      <c r="BV18" t="e">
        <f>AND('2015'!I81,"AAAAACe//Uk=")</f>
        <v>#VALUE!</v>
      </c>
      <c r="BW18" t="e">
        <f>AND('2015'!J81,"AAAAACe//Uo=")</f>
        <v>#VALUE!</v>
      </c>
      <c r="BX18" t="e">
        <f>AND('2015'!K81,"AAAAACe//Us=")</f>
        <v>#VALUE!</v>
      </c>
      <c r="BY18" t="e">
        <f>AND('2015'!L81,"AAAAACe//Uw=")</f>
        <v>#VALUE!</v>
      </c>
      <c r="BZ18" t="e">
        <f>AND('2015'!M81,"AAAAACe//U0=")</f>
        <v>#VALUE!</v>
      </c>
      <c r="CA18" t="e">
        <f>AND('2015'!N81,"AAAAACe//U4=")</f>
        <v>#VALUE!</v>
      </c>
      <c r="CB18" t="e">
        <f>AND('2015'!O81,"AAAAACe//U8=")</f>
        <v>#VALUE!</v>
      </c>
      <c r="CC18" t="e">
        <f>AND('2015'!P81,"AAAAACe//VA=")</f>
        <v>#VALUE!</v>
      </c>
      <c r="CD18" t="e">
        <f>AND('2015'!Q81,"AAAAACe//VE=")</f>
        <v>#VALUE!</v>
      </c>
      <c r="CE18" t="e">
        <f>AND('2015'!R81,"AAAAACe//VI=")</f>
        <v>#VALUE!</v>
      </c>
      <c r="CF18" t="e">
        <f>AND('2015'!S81,"AAAAACe//VM=")</f>
        <v>#VALUE!</v>
      </c>
      <c r="CG18" t="e">
        <f>AND('2015'!T81,"AAAAACe//VQ=")</f>
        <v>#VALUE!</v>
      </c>
      <c r="CH18" t="e">
        <f>AND('2015'!U81,"AAAAACe//VU=")</f>
        <v>#VALUE!</v>
      </c>
      <c r="CI18" t="e">
        <f>AND('2015'!V81,"AAAAACe//VY=")</f>
        <v>#VALUE!</v>
      </c>
      <c r="CJ18" t="e">
        <f>AND('2015'!W81,"AAAAACe//Vc=")</f>
        <v>#VALUE!</v>
      </c>
      <c r="CK18" t="e">
        <f>AND('2015'!X81,"AAAAACe//Vg=")</f>
        <v>#VALUE!</v>
      </c>
      <c r="CL18" t="e">
        <f>AND('2015'!Y81,"AAAAACe//Vk=")</f>
        <v>#VALUE!</v>
      </c>
      <c r="CM18" t="e">
        <f>AND('2015'!Z81,"AAAAACe//Vo=")</f>
        <v>#VALUE!</v>
      </c>
      <c r="CN18" t="e">
        <f>AND('2015'!AA81,"AAAAACe//Vs=")</f>
        <v>#VALUE!</v>
      </c>
      <c r="CO18" t="e">
        <f>AND('2015'!AB81,"AAAAACe//Vw=")</f>
        <v>#VALUE!</v>
      </c>
      <c r="CP18" t="e">
        <f>AND('2015'!AC81,"AAAAACe//V0=")</f>
        <v>#VALUE!</v>
      </c>
      <c r="CQ18" t="e">
        <f>AND('2015'!AD81,"AAAAACe//V4=")</f>
        <v>#VALUE!</v>
      </c>
      <c r="CR18" t="e">
        <f>AND('2015'!AE81,"AAAAACe//V8=")</f>
        <v>#VALUE!</v>
      </c>
      <c r="CS18" t="e">
        <f>AND('2015'!AF81,"AAAAACe//WA=")</f>
        <v>#VALUE!</v>
      </c>
      <c r="CT18" t="e">
        <f>AND('2015'!AG81,"AAAAACe//WE=")</f>
        <v>#VALUE!</v>
      </c>
      <c r="CU18" t="e">
        <f>AND('2015'!AH81,"AAAAACe//WI=")</f>
        <v>#VALUE!</v>
      </c>
      <c r="CV18" t="e">
        <f>AND('2015'!AI81,"AAAAACe//WM=")</f>
        <v>#VALUE!</v>
      </c>
      <c r="CW18" t="e">
        <f>AND('2015'!AJ81,"AAAAACe//WQ=")</f>
        <v>#VALUE!</v>
      </c>
      <c r="CX18" t="e">
        <f>AND('2015'!AK81,"AAAAACe//WU=")</f>
        <v>#VALUE!</v>
      </c>
      <c r="CY18" t="e">
        <f>AND('2015'!AL81,"AAAAACe//WY=")</f>
        <v>#VALUE!</v>
      </c>
      <c r="CZ18" t="e">
        <f>AND('2015'!AM81,"AAAAACe//Wc=")</f>
        <v>#VALUE!</v>
      </c>
      <c r="DA18" t="e">
        <f>AND('2015'!AN81,"AAAAACe//Wg=")</f>
        <v>#VALUE!</v>
      </c>
      <c r="DB18" t="e">
        <f>AND('2015'!AO81,"AAAAACe//Wk=")</f>
        <v>#VALUE!</v>
      </c>
      <c r="DC18" t="e">
        <f>AND('2015'!AP81,"AAAAACe//Wo=")</f>
        <v>#VALUE!</v>
      </c>
      <c r="DD18" t="e">
        <f>AND('2015'!AQ81,"AAAAACe//Ws=")</f>
        <v>#VALUE!</v>
      </c>
      <c r="DE18" t="e">
        <f>AND('2015'!AR81,"AAAAACe//Ww=")</f>
        <v>#VALUE!</v>
      </c>
      <c r="DF18" t="e">
        <f>AND('2015'!AS81,"AAAAACe//W0=")</f>
        <v>#VALUE!</v>
      </c>
      <c r="DG18" t="e">
        <f>AND('2015'!AT81,"AAAAACe//W4=")</f>
        <v>#VALUE!</v>
      </c>
      <c r="DH18" t="e">
        <f>AND('2015'!#REF!,"AAAAACe//W8=")</f>
        <v>#REF!</v>
      </c>
      <c r="DI18" t="e">
        <f>AND('2015'!AU81,"AAAAACe//XA=")</f>
        <v>#VALUE!</v>
      </c>
      <c r="DJ18" t="e">
        <f>AND('2015'!AV81,"AAAAACe//XE=")</f>
        <v>#VALUE!</v>
      </c>
      <c r="DK18" t="e">
        <f>AND('2015'!AW81,"AAAAACe//XI=")</f>
        <v>#VALUE!</v>
      </c>
      <c r="DL18" t="e">
        <f>AND('2015'!AX81,"AAAAACe//XM=")</f>
        <v>#VALUE!</v>
      </c>
      <c r="DM18" t="e">
        <f>AND('2015'!AY81,"AAAAACe//XQ=")</f>
        <v>#VALUE!</v>
      </c>
      <c r="DN18" t="e">
        <f>AND('2015'!AZ81,"AAAAACe//XU=")</f>
        <v>#VALUE!</v>
      </c>
      <c r="DO18" t="e">
        <f>AND('2015'!BA81,"AAAAACe//XY=")</f>
        <v>#VALUE!</v>
      </c>
      <c r="DP18" t="e">
        <f>AND('2015'!BB81,"AAAAACe//Xc=")</f>
        <v>#VALUE!</v>
      </c>
      <c r="DQ18" t="e">
        <f>AND('2015'!BC81,"AAAAACe//Xg=")</f>
        <v>#VALUE!</v>
      </c>
      <c r="DR18" t="e">
        <f>AND('2015'!BD81,"AAAAACe//Xk=")</f>
        <v>#VALUE!</v>
      </c>
      <c r="DS18" t="e">
        <f>AND('2015'!BE81,"AAAAACe//Xo=")</f>
        <v>#VALUE!</v>
      </c>
      <c r="DT18" t="e">
        <f>AND('2015'!BF81,"AAAAACe//Xs=")</f>
        <v>#VALUE!</v>
      </c>
      <c r="DU18" t="e">
        <f>AND('2015'!BG81,"AAAAACe//Xw=")</f>
        <v>#VALUE!</v>
      </c>
      <c r="DV18" t="e">
        <f>AND('2015'!BH81,"AAAAACe//X0=")</f>
        <v>#VALUE!</v>
      </c>
      <c r="DW18" t="e">
        <f>AND('2015'!BI81,"AAAAACe//X4=")</f>
        <v>#VALUE!</v>
      </c>
      <c r="DX18" t="e">
        <f>AND('2015'!#REF!,"AAAAACe//X8=")</f>
        <v>#REF!</v>
      </c>
      <c r="DY18" t="e">
        <f>AND('2015'!BJ81,"AAAAACe//YA=")</f>
        <v>#VALUE!</v>
      </c>
      <c r="DZ18" t="e">
        <f>AND('2015'!BK81,"AAAAACe//YE=")</f>
        <v>#VALUE!</v>
      </c>
      <c r="EA18" t="e">
        <f>AND('2015'!BL81,"AAAAACe//YI=")</f>
        <v>#VALUE!</v>
      </c>
      <c r="EB18" t="e">
        <f>AND('2015'!BM81,"AAAAACe//YM=")</f>
        <v>#VALUE!</v>
      </c>
      <c r="EC18" t="e">
        <f>AND('2015'!BY81,"AAAAACe//YQ=")</f>
        <v>#VALUE!</v>
      </c>
      <c r="ED18">
        <f>IF('2015'!82:82,"AAAAACe//YU=",0)</f>
        <v>0</v>
      </c>
      <c r="EE18" t="e">
        <f>AND('2015'!A82,"AAAAACe//YY=")</f>
        <v>#VALUE!</v>
      </c>
      <c r="EF18" t="e">
        <f>AND('2015'!B82,"AAAAACe//Yc=")</f>
        <v>#VALUE!</v>
      </c>
      <c r="EG18" t="e">
        <f>AND('2015'!C82,"AAAAACe//Yg=")</f>
        <v>#VALUE!</v>
      </c>
      <c r="EH18" t="e">
        <f>AND('2015'!D82,"AAAAACe//Yk=")</f>
        <v>#VALUE!</v>
      </c>
      <c r="EI18" t="e">
        <f>AND('2015'!E82,"AAAAACe//Yo=")</f>
        <v>#VALUE!</v>
      </c>
      <c r="EJ18" t="e">
        <f>AND('2015'!F82,"AAAAACe//Ys=")</f>
        <v>#VALUE!</v>
      </c>
      <c r="EK18" t="e">
        <f>AND('2015'!G82,"AAAAACe//Yw=")</f>
        <v>#VALUE!</v>
      </c>
      <c r="EL18" t="e">
        <f>AND('2015'!H82,"AAAAACe//Y0=")</f>
        <v>#VALUE!</v>
      </c>
      <c r="EM18" t="e">
        <f>AND('2015'!I82,"AAAAACe//Y4=")</f>
        <v>#VALUE!</v>
      </c>
      <c r="EN18" t="e">
        <f>AND('2015'!J82,"AAAAACe//Y8=")</f>
        <v>#VALUE!</v>
      </c>
      <c r="EO18" t="e">
        <f>AND('2015'!K82,"AAAAACe//ZA=")</f>
        <v>#VALUE!</v>
      </c>
      <c r="EP18" t="e">
        <f>AND('2015'!L82,"AAAAACe//ZE=")</f>
        <v>#VALUE!</v>
      </c>
      <c r="EQ18" t="e">
        <f>AND('2015'!M82,"AAAAACe//ZI=")</f>
        <v>#VALUE!</v>
      </c>
      <c r="ER18" t="e">
        <f>AND('2015'!N82,"AAAAACe//ZM=")</f>
        <v>#VALUE!</v>
      </c>
      <c r="ES18" t="e">
        <f>AND('2015'!O82,"AAAAACe//ZQ=")</f>
        <v>#VALUE!</v>
      </c>
      <c r="ET18" t="e">
        <f>AND('2015'!P82,"AAAAACe//ZU=")</f>
        <v>#VALUE!</v>
      </c>
      <c r="EU18" t="e">
        <f>AND('2015'!Q82,"AAAAACe//ZY=")</f>
        <v>#VALUE!</v>
      </c>
      <c r="EV18" t="e">
        <f>AND('2015'!R82,"AAAAACe//Zc=")</f>
        <v>#VALUE!</v>
      </c>
      <c r="EW18" t="e">
        <f>AND('2015'!S82,"AAAAACe//Zg=")</f>
        <v>#VALUE!</v>
      </c>
      <c r="EX18" t="e">
        <f>AND('2015'!T82,"AAAAACe//Zk=")</f>
        <v>#VALUE!</v>
      </c>
      <c r="EY18" t="e">
        <f>AND('2015'!U82,"AAAAACe//Zo=")</f>
        <v>#VALUE!</v>
      </c>
      <c r="EZ18" t="e">
        <f>AND('2015'!V82,"AAAAACe//Zs=")</f>
        <v>#VALUE!</v>
      </c>
      <c r="FA18" t="e">
        <f>AND('2015'!W82,"AAAAACe//Zw=")</f>
        <v>#VALUE!</v>
      </c>
      <c r="FB18" t="e">
        <f>AND('2015'!X82,"AAAAACe//Z0=")</f>
        <v>#VALUE!</v>
      </c>
      <c r="FC18" t="e">
        <f>AND('2015'!Y82,"AAAAACe//Z4=")</f>
        <v>#VALUE!</v>
      </c>
      <c r="FD18" t="e">
        <f>AND('2015'!Z82,"AAAAACe//Z8=")</f>
        <v>#VALUE!</v>
      </c>
      <c r="FE18" t="e">
        <f>AND('2015'!AA82,"AAAAACe//aA=")</f>
        <v>#VALUE!</v>
      </c>
      <c r="FF18" t="e">
        <f>AND('2015'!AB82,"AAAAACe//aE=")</f>
        <v>#VALUE!</v>
      </c>
      <c r="FG18" t="e">
        <f>AND('2015'!AC82,"AAAAACe//aI=")</f>
        <v>#VALUE!</v>
      </c>
      <c r="FH18" t="e">
        <f>AND('2015'!AD82,"AAAAACe//aM=")</f>
        <v>#VALUE!</v>
      </c>
      <c r="FI18" t="e">
        <f>AND('2015'!AE82,"AAAAACe//aQ=")</f>
        <v>#VALUE!</v>
      </c>
      <c r="FJ18" t="e">
        <f>AND('2015'!AF82,"AAAAACe//aU=")</f>
        <v>#VALUE!</v>
      </c>
      <c r="FK18" t="e">
        <f>AND('2015'!AG82,"AAAAACe//aY=")</f>
        <v>#VALUE!</v>
      </c>
      <c r="FL18" t="e">
        <f>AND('2015'!AH82,"AAAAACe//ac=")</f>
        <v>#VALUE!</v>
      </c>
      <c r="FM18" t="e">
        <f>AND('2015'!AI82,"AAAAACe//ag=")</f>
        <v>#VALUE!</v>
      </c>
      <c r="FN18" t="e">
        <f>AND('2015'!AJ82,"AAAAACe//ak=")</f>
        <v>#VALUE!</v>
      </c>
      <c r="FO18" t="e">
        <f>AND('2015'!AK82,"AAAAACe//ao=")</f>
        <v>#VALUE!</v>
      </c>
      <c r="FP18" t="e">
        <f>AND('2015'!AL82,"AAAAACe//as=")</f>
        <v>#VALUE!</v>
      </c>
      <c r="FQ18" t="e">
        <f>AND('2015'!AM82,"AAAAACe//aw=")</f>
        <v>#VALUE!</v>
      </c>
      <c r="FR18" t="e">
        <f>AND('2015'!AN82,"AAAAACe//a0=")</f>
        <v>#VALUE!</v>
      </c>
      <c r="FS18" t="e">
        <f>AND('2015'!AO82,"AAAAACe//a4=")</f>
        <v>#VALUE!</v>
      </c>
      <c r="FT18" t="e">
        <f>AND('2015'!AP82,"AAAAACe//a8=")</f>
        <v>#VALUE!</v>
      </c>
      <c r="FU18" t="e">
        <f>AND('2015'!AQ82,"AAAAACe//bA=")</f>
        <v>#VALUE!</v>
      </c>
      <c r="FV18" t="e">
        <f>AND('2015'!AR82,"AAAAACe//bE=")</f>
        <v>#VALUE!</v>
      </c>
      <c r="FW18" t="e">
        <f>AND('2015'!AS82,"AAAAACe//bI=")</f>
        <v>#VALUE!</v>
      </c>
      <c r="FX18" t="e">
        <f>AND('2015'!AT82,"AAAAACe//bM=")</f>
        <v>#VALUE!</v>
      </c>
      <c r="FY18" t="e">
        <f>AND('2015'!#REF!,"AAAAACe//bQ=")</f>
        <v>#REF!</v>
      </c>
      <c r="FZ18" t="e">
        <f>AND('2015'!AU82,"AAAAACe//bU=")</f>
        <v>#VALUE!</v>
      </c>
      <c r="GA18" t="e">
        <f>AND('2015'!AV82,"AAAAACe//bY=")</f>
        <v>#VALUE!</v>
      </c>
      <c r="GB18" t="e">
        <f>AND('2015'!AW82,"AAAAACe//bc=")</f>
        <v>#VALUE!</v>
      </c>
      <c r="GC18" t="e">
        <f>AND('2015'!AX82,"AAAAACe//bg=")</f>
        <v>#VALUE!</v>
      </c>
      <c r="GD18" t="e">
        <f>AND('2015'!AY82,"AAAAACe//bk=")</f>
        <v>#VALUE!</v>
      </c>
      <c r="GE18" t="e">
        <f>AND('2015'!AZ82,"AAAAACe//bo=")</f>
        <v>#VALUE!</v>
      </c>
      <c r="GF18" t="e">
        <f>AND('2015'!BA82,"AAAAACe//bs=")</f>
        <v>#VALUE!</v>
      </c>
      <c r="GG18" t="e">
        <f>AND('2015'!BB82,"AAAAACe//bw=")</f>
        <v>#VALUE!</v>
      </c>
      <c r="GH18" t="e">
        <f>AND('2015'!BC82,"AAAAACe//b0=")</f>
        <v>#VALUE!</v>
      </c>
      <c r="GI18" t="e">
        <f>AND('2015'!BD82,"AAAAACe//b4=")</f>
        <v>#VALUE!</v>
      </c>
      <c r="GJ18" t="e">
        <f>AND('2015'!BE82,"AAAAACe//b8=")</f>
        <v>#VALUE!</v>
      </c>
      <c r="GK18" t="e">
        <f>AND('2015'!BF82,"AAAAACe//cA=")</f>
        <v>#VALUE!</v>
      </c>
      <c r="GL18" t="e">
        <f>AND('2015'!BG82,"AAAAACe//cE=")</f>
        <v>#VALUE!</v>
      </c>
      <c r="GM18" t="e">
        <f>AND('2015'!BH82,"AAAAACe//cI=")</f>
        <v>#VALUE!</v>
      </c>
      <c r="GN18" t="e">
        <f>AND('2015'!BI82,"AAAAACe//cM=")</f>
        <v>#VALUE!</v>
      </c>
      <c r="GO18" t="e">
        <f>AND('2015'!#REF!,"AAAAACe//cQ=")</f>
        <v>#REF!</v>
      </c>
      <c r="GP18" t="e">
        <f>AND('2015'!BJ82,"AAAAACe//cU=")</f>
        <v>#VALUE!</v>
      </c>
      <c r="GQ18" t="e">
        <f>AND('2015'!BK82,"AAAAACe//cY=")</f>
        <v>#VALUE!</v>
      </c>
      <c r="GR18" t="e">
        <f>AND('2015'!BL82,"AAAAACe//cc=")</f>
        <v>#VALUE!</v>
      </c>
      <c r="GS18" t="e">
        <f>AND('2015'!BM82,"AAAAACe//cg=")</f>
        <v>#VALUE!</v>
      </c>
      <c r="GT18" t="e">
        <f>AND('2015'!BY82,"AAAAACe//ck=")</f>
        <v>#VALUE!</v>
      </c>
      <c r="GU18">
        <f>IF('2015'!27:27,"AAAAACe//co=",0)</f>
        <v>0</v>
      </c>
      <c r="GV18" t="e">
        <f>AND('2015'!A27,"AAAAACe//cs=")</f>
        <v>#VALUE!</v>
      </c>
      <c r="GW18" t="e">
        <f>AND('2015'!B27,"AAAAACe//cw=")</f>
        <v>#VALUE!</v>
      </c>
      <c r="GX18" t="e">
        <f>AND('2015'!C27,"AAAAACe//c0=")</f>
        <v>#VALUE!</v>
      </c>
      <c r="GY18" t="e">
        <f>AND('2015'!D27,"AAAAACe//c4=")</f>
        <v>#VALUE!</v>
      </c>
      <c r="GZ18" t="e">
        <f>AND('2015'!E27,"AAAAACe//c8=")</f>
        <v>#VALUE!</v>
      </c>
      <c r="HA18" t="e">
        <f>AND('2015'!F27,"AAAAACe//dA=")</f>
        <v>#VALUE!</v>
      </c>
      <c r="HB18" t="e">
        <f>AND('2015'!G27,"AAAAACe//dE=")</f>
        <v>#VALUE!</v>
      </c>
      <c r="HC18" t="e">
        <f>AND('2015'!H27,"AAAAACe//dI=")</f>
        <v>#VALUE!</v>
      </c>
      <c r="HD18" t="e">
        <f>AND('2015'!I27,"AAAAACe//dM=")</f>
        <v>#VALUE!</v>
      </c>
      <c r="HE18" t="e">
        <f>AND('2015'!J27,"AAAAACe//dQ=")</f>
        <v>#VALUE!</v>
      </c>
      <c r="HF18" t="e">
        <f>AND('2015'!K27,"AAAAACe//dU=")</f>
        <v>#VALUE!</v>
      </c>
      <c r="HG18" t="e">
        <f>AND('2015'!L27,"AAAAACe//dY=")</f>
        <v>#VALUE!</v>
      </c>
      <c r="HH18" t="e">
        <f>AND('2015'!M27,"AAAAACe//dc=")</f>
        <v>#VALUE!</v>
      </c>
      <c r="HI18" t="e">
        <f>AND('2015'!N27,"AAAAACe//dg=")</f>
        <v>#VALUE!</v>
      </c>
      <c r="HJ18" t="e">
        <f>AND('2015'!O27,"AAAAACe//dk=")</f>
        <v>#VALUE!</v>
      </c>
      <c r="HK18" t="e">
        <f>AND('2015'!P27,"AAAAACe//do=")</f>
        <v>#VALUE!</v>
      </c>
      <c r="HL18" t="e">
        <f>AND('2015'!Q27,"AAAAACe//ds=")</f>
        <v>#VALUE!</v>
      </c>
      <c r="HM18" t="e">
        <f>AND('2015'!R27,"AAAAACe//dw=")</f>
        <v>#VALUE!</v>
      </c>
      <c r="HN18" t="e">
        <f>AND('2015'!S27,"AAAAACe//d0=")</f>
        <v>#VALUE!</v>
      </c>
      <c r="HO18" t="e">
        <f>AND('2015'!T27,"AAAAACe//d4=")</f>
        <v>#VALUE!</v>
      </c>
      <c r="HP18" t="e">
        <f>AND('2015'!U27,"AAAAACe//d8=")</f>
        <v>#VALUE!</v>
      </c>
      <c r="HQ18" t="e">
        <f>AND('2015'!V27,"AAAAACe//eA=")</f>
        <v>#VALUE!</v>
      </c>
      <c r="HR18" t="e">
        <f>AND('2015'!W27,"AAAAACe//eE=")</f>
        <v>#VALUE!</v>
      </c>
      <c r="HS18" t="e">
        <f>AND('2015'!X27,"AAAAACe//eI=")</f>
        <v>#VALUE!</v>
      </c>
      <c r="HT18" t="e">
        <f>AND('2015'!Y27,"AAAAACe//eM=")</f>
        <v>#VALUE!</v>
      </c>
      <c r="HU18" t="e">
        <f>AND('2015'!Z27,"AAAAACe//eQ=")</f>
        <v>#VALUE!</v>
      </c>
      <c r="HV18" t="e">
        <f>AND('2015'!AA27,"AAAAACe//eU=")</f>
        <v>#VALUE!</v>
      </c>
      <c r="HW18" t="e">
        <f>AND('2015'!AB27,"AAAAACe//eY=")</f>
        <v>#VALUE!</v>
      </c>
      <c r="HX18" t="e">
        <f>AND('2015'!AC27,"AAAAACe//ec=")</f>
        <v>#VALUE!</v>
      </c>
      <c r="HY18" t="e">
        <f>AND('2015'!AD27,"AAAAACe//eg=")</f>
        <v>#VALUE!</v>
      </c>
      <c r="HZ18" t="e">
        <f>AND('2015'!AE27,"AAAAACe//ek=")</f>
        <v>#VALUE!</v>
      </c>
      <c r="IA18" t="e">
        <f>AND('2015'!AF27,"AAAAACe//eo=")</f>
        <v>#VALUE!</v>
      </c>
      <c r="IB18" t="e">
        <f>AND('2015'!AG27,"AAAAACe//es=")</f>
        <v>#VALUE!</v>
      </c>
      <c r="IC18" t="e">
        <f>AND('2015'!AH27,"AAAAACe//ew=")</f>
        <v>#VALUE!</v>
      </c>
      <c r="ID18" t="e">
        <f>AND('2015'!AI27,"AAAAACe//e0=")</f>
        <v>#VALUE!</v>
      </c>
      <c r="IE18" t="e">
        <f>AND('2015'!AJ27,"AAAAACe//e4=")</f>
        <v>#VALUE!</v>
      </c>
      <c r="IF18" t="e">
        <f>AND('2015'!AK27,"AAAAACe//e8=")</f>
        <v>#VALUE!</v>
      </c>
      <c r="IG18" t="e">
        <f>AND('2015'!AL27,"AAAAACe//fA=")</f>
        <v>#VALUE!</v>
      </c>
      <c r="IH18" t="e">
        <f>AND('2015'!AM27,"AAAAACe//fE=")</f>
        <v>#VALUE!</v>
      </c>
      <c r="II18" t="e">
        <f>AND('2015'!AN27,"AAAAACe//fI=")</f>
        <v>#VALUE!</v>
      </c>
      <c r="IJ18" t="e">
        <f>AND('2015'!AO27,"AAAAACe//fM=")</f>
        <v>#VALUE!</v>
      </c>
      <c r="IK18" t="e">
        <f>AND('2015'!AP27,"AAAAACe//fQ=")</f>
        <v>#VALUE!</v>
      </c>
      <c r="IL18" t="e">
        <f>AND('2015'!AQ27,"AAAAACe//fU=")</f>
        <v>#VALUE!</v>
      </c>
      <c r="IM18" t="e">
        <f>AND('2015'!AR27,"AAAAACe//fY=")</f>
        <v>#VALUE!</v>
      </c>
      <c r="IN18" t="e">
        <f>AND('2015'!AS27,"AAAAACe//fc=")</f>
        <v>#VALUE!</v>
      </c>
      <c r="IO18" t="e">
        <f>AND('2015'!AT27,"AAAAACe//fg=")</f>
        <v>#VALUE!</v>
      </c>
      <c r="IP18" t="e">
        <f>AND('2015'!#REF!,"AAAAACe//fk=")</f>
        <v>#REF!</v>
      </c>
      <c r="IQ18" t="e">
        <f>AND('2015'!AU27,"AAAAACe//fo=")</f>
        <v>#VALUE!</v>
      </c>
      <c r="IR18" t="e">
        <f>AND('2015'!AV27,"AAAAACe//fs=")</f>
        <v>#VALUE!</v>
      </c>
      <c r="IS18" t="e">
        <f>AND('2015'!AW27,"AAAAACe//fw=")</f>
        <v>#VALUE!</v>
      </c>
      <c r="IT18" t="e">
        <f>AND('2015'!AX27,"AAAAACe//f0=")</f>
        <v>#VALUE!</v>
      </c>
      <c r="IU18" t="e">
        <f>AND('2015'!AY27,"AAAAACe//f4=")</f>
        <v>#VALUE!</v>
      </c>
      <c r="IV18" t="e">
        <f>AND('2015'!AZ27,"AAAAACe//f8=")</f>
        <v>#VALUE!</v>
      </c>
    </row>
    <row r="19" spans="1:256" x14ac:dyDescent="0.25">
      <c r="A19" t="e">
        <f>AND('2015'!BA27,"AAAAAGrf/wA=")</f>
        <v>#VALUE!</v>
      </c>
      <c r="B19" t="e">
        <f>AND('2015'!BB27,"AAAAAGrf/wE=")</f>
        <v>#VALUE!</v>
      </c>
      <c r="C19" t="e">
        <f>AND('2015'!BC27,"AAAAAGrf/wI=")</f>
        <v>#VALUE!</v>
      </c>
      <c r="D19" t="e">
        <f>AND('2015'!BD27,"AAAAAGrf/wM=")</f>
        <v>#VALUE!</v>
      </c>
      <c r="E19" t="e">
        <f>AND('2015'!BE27,"AAAAAGrf/wQ=")</f>
        <v>#VALUE!</v>
      </c>
      <c r="F19" t="e">
        <f>AND('2015'!BF27,"AAAAAGrf/wU=")</f>
        <v>#VALUE!</v>
      </c>
      <c r="G19" t="e">
        <f>AND('2015'!BG27,"AAAAAGrf/wY=")</f>
        <v>#VALUE!</v>
      </c>
      <c r="H19" t="e">
        <f>AND('2015'!BH27,"AAAAAGrf/wc=")</f>
        <v>#VALUE!</v>
      </c>
      <c r="I19" t="e">
        <f>AND('2015'!BI27,"AAAAAGrf/wg=")</f>
        <v>#VALUE!</v>
      </c>
      <c r="J19" t="e">
        <f>AND('2015'!#REF!,"AAAAAGrf/wk=")</f>
        <v>#REF!</v>
      </c>
      <c r="K19" t="e">
        <f>AND('2015'!BJ27,"AAAAAGrf/wo=")</f>
        <v>#VALUE!</v>
      </c>
      <c r="L19" t="e">
        <f>AND('2015'!BK27,"AAAAAGrf/ws=")</f>
        <v>#VALUE!</v>
      </c>
      <c r="M19" t="e">
        <f>AND('2015'!BL27,"AAAAAGrf/ww=")</f>
        <v>#VALUE!</v>
      </c>
      <c r="N19" t="e">
        <f>AND('2015'!BM27,"AAAAAGrf/w0=")</f>
        <v>#VALUE!</v>
      </c>
      <c r="O19" t="e">
        <f>AND('2015'!BY27,"AAAAAGrf/w4=")</f>
        <v>#VALUE!</v>
      </c>
      <c r="P19">
        <f>IF('2015'!83:83,"AAAAAGrf/w8=",0)</f>
        <v>0</v>
      </c>
      <c r="Q19" t="e">
        <f>AND('2015'!A83,"AAAAAGrf/xA=")</f>
        <v>#VALUE!</v>
      </c>
      <c r="R19" t="e">
        <f>AND('2015'!B83,"AAAAAGrf/xE=")</f>
        <v>#VALUE!</v>
      </c>
      <c r="S19" t="e">
        <f>AND('2015'!C83,"AAAAAGrf/xI=")</f>
        <v>#VALUE!</v>
      </c>
      <c r="T19" t="e">
        <f>AND('2015'!D83,"AAAAAGrf/xM=")</f>
        <v>#VALUE!</v>
      </c>
      <c r="U19" t="e">
        <f>AND('2015'!E83,"AAAAAGrf/xQ=")</f>
        <v>#VALUE!</v>
      </c>
      <c r="V19" t="e">
        <f>AND('2015'!F83,"AAAAAGrf/xU=")</f>
        <v>#VALUE!</v>
      </c>
      <c r="W19" t="e">
        <f>AND('2015'!G83,"AAAAAGrf/xY=")</f>
        <v>#VALUE!</v>
      </c>
      <c r="X19" t="e">
        <f>AND('2015'!H83,"AAAAAGrf/xc=")</f>
        <v>#VALUE!</v>
      </c>
      <c r="Y19" t="e">
        <f>AND('2015'!I83,"AAAAAGrf/xg=")</f>
        <v>#VALUE!</v>
      </c>
      <c r="Z19" t="e">
        <f>AND('2015'!J83,"AAAAAGrf/xk=")</f>
        <v>#VALUE!</v>
      </c>
      <c r="AA19" t="e">
        <f>AND('2015'!K83,"AAAAAGrf/xo=")</f>
        <v>#VALUE!</v>
      </c>
      <c r="AB19" t="e">
        <f>AND('2015'!L83,"AAAAAGrf/xs=")</f>
        <v>#VALUE!</v>
      </c>
      <c r="AC19" t="e">
        <f>AND('2015'!M83,"AAAAAGrf/xw=")</f>
        <v>#VALUE!</v>
      </c>
      <c r="AD19" t="e">
        <f>AND('2015'!N83,"AAAAAGrf/x0=")</f>
        <v>#VALUE!</v>
      </c>
      <c r="AE19" t="e">
        <f>AND('2015'!O83,"AAAAAGrf/x4=")</f>
        <v>#VALUE!</v>
      </c>
      <c r="AF19" t="e">
        <f>AND('2015'!P83,"AAAAAGrf/x8=")</f>
        <v>#VALUE!</v>
      </c>
      <c r="AG19" t="e">
        <f>AND('2015'!Q83,"AAAAAGrf/yA=")</f>
        <v>#VALUE!</v>
      </c>
      <c r="AH19" t="e">
        <f>AND('2015'!R83,"AAAAAGrf/yE=")</f>
        <v>#VALUE!</v>
      </c>
      <c r="AI19" t="e">
        <f>AND('2015'!S83,"AAAAAGrf/yI=")</f>
        <v>#VALUE!</v>
      </c>
      <c r="AJ19" t="e">
        <f>AND('2015'!T83,"AAAAAGrf/yM=")</f>
        <v>#VALUE!</v>
      </c>
      <c r="AK19" t="e">
        <f>AND('2015'!U83,"AAAAAGrf/yQ=")</f>
        <v>#VALUE!</v>
      </c>
      <c r="AL19" t="e">
        <f>AND('2015'!V83,"AAAAAGrf/yU=")</f>
        <v>#VALUE!</v>
      </c>
      <c r="AM19" t="e">
        <f>AND('2015'!W83,"AAAAAGrf/yY=")</f>
        <v>#VALUE!</v>
      </c>
      <c r="AN19" t="e">
        <f>AND('2015'!X83,"AAAAAGrf/yc=")</f>
        <v>#VALUE!</v>
      </c>
      <c r="AO19" t="e">
        <f>AND('2015'!Y83,"AAAAAGrf/yg=")</f>
        <v>#VALUE!</v>
      </c>
      <c r="AP19" t="e">
        <f>AND('2015'!Z83,"AAAAAGrf/yk=")</f>
        <v>#VALUE!</v>
      </c>
      <c r="AQ19" t="e">
        <f>AND('2015'!AA83,"AAAAAGrf/yo=")</f>
        <v>#VALUE!</v>
      </c>
      <c r="AR19" t="e">
        <f>AND('2015'!AB83,"AAAAAGrf/ys=")</f>
        <v>#VALUE!</v>
      </c>
      <c r="AS19" t="e">
        <f>AND('2015'!AC83,"AAAAAGrf/yw=")</f>
        <v>#VALUE!</v>
      </c>
      <c r="AT19" t="e">
        <f>AND('2015'!AD83,"AAAAAGrf/y0=")</f>
        <v>#VALUE!</v>
      </c>
      <c r="AU19" t="e">
        <f>AND('2015'!AE83,"AAAAAGrf/y4=")</f>
        <v>#VALUE!</v>
      </c>
      <c r="AV19" t="e">
        <f>AND('2015'!AF83,"AAAAAGrf/y8=")</f>
        <v>#VALUE!</v>
      </c>
      <c r="AW19" t="e">
        <f>AND('2015'!AG83,"AAAAAGrf/zA=")</f>
        <v>#VALUE!</v>
      </c>
      <c r="AX19" t="e">
        <f>AND('2015'!AH83,"AAAAAGrf/zE=")</f>
        <v>#VALUE!</v>
      </c>
      <c r="AY19" t="e">
        <f>AND('2015'!AI83,"AAAAAGrf/zI=")</f>
        <v>#VALUE!</v>
      </c>
      <c r="AZ19" t="e">
        <f>AND('2015'!AJ83,"AAAAAGrf/zM=")</f>
        <v>#VALUE!</v>
      </c>
      <c r="BA19" t="e">
        <f>AND('2015'!AK83,"AAAAAGrf/zQ=")</f>
        <v>#VALUE!</v>
      </c>
      <c r="BB19" t="e">
        <f>AND('2015'!AL83,"AAAAAGrf/zU=")</f>
        <v>#VALUE!</v>
      </c>
      <c r="BC19" t="e">
        <f>AND('2015'!AM83,"AAAAAGrf/zY=")</f>
        <v>#VALUE!</v>
      </c>
      <c r="BD19" t="e">
        <f>AND('2015'!AN83,"AAAAAGrf/zc=")</f>
        <v>#VALUE!</v>
      </c>
      <c r="BE19" t="e">
        <f>AND('2015'!AO83,"AAAAAGrf/zg=")</f>
        <v>#VALUE!</v>
      </c>
      <c r="BF19" t="e">
        <f>AND('2015'!AP83,"AAAAAGrf/zk=")</f>
        <v>#VALUE!</v>
      </c>
      <c r="BG19" t="e">
        <f>AND('2015'!AQ83,"AAAAAGrf/zo=")</f>
        <v>#VALUE!</v>
      </c>
      <c r="BH19" t="e">
        <f>AND('2015'!AR83,"AAAAAGrf/zs=")</f>
        <v>#VALUE!</v>
      </c>
      <c r="BI19" t="e">
        <f>AND('2015'!AS83,"AAAAAGrf/zw=")</f>
        <v>#VALUE!</v>
      </c>
      <c r="BJ19" t="e">
        <f>AND('2015'!AT83,"AAAAAGrf/z0=")</f>
        <v>#VALUE!</v>
      </c>
      <c r="BK19" t="e">
        <f>AND('2015'!#REF!,"AAAAAGrf/z4=")</f>
        <v>#REF!</v>
      </c>
      <c r="BL19" t="e">
        <f>AND('2015'!AU83,"AAAAAGrf/z8=")</f>
        <v>#VALUE!</v>
      </c>
      <c r="BM19" t="e">
        <f>AND('2015'!AV83,"AAAAAGrf/0A=")</f>
        <v>#VALUE!</v>
      </c>
      <c r="BN19" t="e">
        <f>AND('2015'!AW83,"AAAAAGrf/0E=")</f>
        <v>#VALUE!</v>
      </c>
      <c r="BO19" t="e">
        <f>AND('2015'!AX83,"AAAAAGrf/0I=")</f>
        <v>#VALUE!</v>
      </c>
      <c r="BP19" t="e">
        <f>AND('2015'!AY83,"AAAAAGrf/0M=")</f>
        <v>#VALUE!</v>
      </c>
      <c r="BQ19" t="e">
        <f>AND('2015'!AZ83,"AAAAAGrf/0Q=")</f>
        <v>#VALUE!</v>
      </c>
      <c r="BR19" t="e">
        <f>AND('2015'!BA83,"AAAAAGrf/0U=")</f>
        <v>#VALUE!</v>
      </c>
      <c r="BS19" t="e">
        <f>AND('2015'!BB83,"AAAAAGrf/0Y=")</f>
        <v>#VALUE!</v>
      </c>
      <c r="BT19" t="e">
        <f>AND('2015'!BC83,"AAAAAGrf/0c=")</f>
        <v>#VALUE!</v>
      </c>
      <c r="BU19" t="e">
        <f>AND('2015'!BD83,"AAAAAGrf/0g=")</f>
        <v>#VALUE!</v>
      </c>
      <c r="BV19" t="e">
        <f>AND('2015'!BE83,"AAAAAGrf/0k=")</f>
        <v>#VALUE!</v>
      </c>
      <c r="BW19" t="e">
        <f>AND('2015'!BF83,"AAAAAGrf/0o=")</f>
        <v>#VALUE!</v>
      </c>
      <c r="BX19" t="e">
        <f>AND('2015'!BG83,"AAAAAGrf/0s=")</f>
        <v>#VALUE!</v>
      </c>
      <c r="BY19" t="e">
        <f>AND('2015'!BH83,"AAAAAGrf/0w=")</f>
        <v>#VALUE!</v>
      </c>
      <c r="BZ19" t="e">
        <f>AND('2015'!BI83,"AAAAAGrf/00=")</f>
        <v>#VALUE!</v>
      </c>
      <c r="CA19" t="e">
        <f>AND('2015'!#REF!,"AAAAAGrf/04=")</f>
        <v>#REF!</v>
      </c>
      <c r="CB19" t="e">
        <f>AND('2015'!BJ83,"AAAAAGrf/08=")</f>
        <v>#VALUE!</v>
      </c>
      <c r="CC19" t="e">
        <f>AND('2015'!BK83,"AAAAAGrf/1A=")</f>
        <v>#VALUE!</v>
      </c>
      <c r="CD19" t="e">
        <f>AND('2015'!BL83,"AAAAAGrf/1E=")</f>
        <v>#VALUE!</v>
      </c>
      <c r="CE19" t="e">
        <f>AND('2015'!BM83,"AAAAAGrf/1I=")</f>
        <v>#VALUE!</v>
      </c>
      <c r="CF19" t="e">
        <f>AND('2015'!BY83,"AAAAAGrf/1M=")</f>
        <v>#VALUE!</v>
      </c>
      <c r="CG19">
        <f>IF('2015'!84:84,"AAAAAGrf/1Q=",0)</f>
        <v>0</v>
      </c>
      <c r="CH19" t="e">
        <f>AND('2015'!A84,"AAAAAGrf/1U=")</f>
        <v>#VALUE!</v>
      </c>
      <c r="CI19" t="e">
        <f>AND('2015'!B84,"AAAAAGrf/1Y=")</f>
        <v>#VALUE!</v>
      </c>
      <c r="CJ19" t="e">
        <f>AND('2015'!C84,"AAAAAGrf/1c=")</f>
        <v>#VALUE!</v>
      </c>
      <c r="CK19" t="e">
        <f>AND('2015'!D84,"AAAAAGrf/1g=")</f>
        <v>#VALUE!</v>
      </c>
      <c r="CL19" t="e">
        <f>AND('2015'!E84,"AAAAAGrf/1k=")</f>
        <v>#VALUE!</v>
      </c>
      <c r="CM19" t="e">
        <f>AND('2015'!F84,"AAAAAGrf/1o=")</f>
        <v>#VALUE!</v>
      </c>
      <c r="CN19" t="e">
        <f>AND('2015'!G84,"AAAAAGrf/1s=")</f>
        <v>#VALUE!</v>
      </c>
      <c r="CO19" t="e">
        <f>AND('2015'!H84,"AAAAAGrf/1w=")</f>
        <v>#VALUE!</v>
      </c>
      <c r="CP19" t="e">
        <f>AND('2015'!I84,"AAAAAGrf/10=")</f>
        <v>#VALUE!</v>
      </c>
      <c r="CQ19" t="e">
        <f>AND('2015'!J84,"AAAAAGrf/14=")</f>
        <v>#VALUE!</v>
      </c>
      <c r="CR19" t="e">
        <f>AND('2015'!K84,"AAAAAGrf/18=")</f>
        <v>#VALUE!</v>
      </c>
      <c r="CS19" t="e">
        <f>AND('2015'!L84,"AAAAAGrf/2A=")</f>
        <v>#VALUE!</v>
      </c>
      <c r="CT19" t="e">
        <f>AND('2015'!M84,"AAAAAGrf/2E=")</f>
        <v>#VALUE!</v>
      </c>
      <c r="CU19" t="e">
        <f>AND('2015'!N84,"AAAAAGrf/2I=")</f>
        <v>#VALUE!</v>
      </c>
      <c r="CV19" t="e">
        <f>AND('2015'!O84,"AAAAAGrf/2M=")</f>
        <v>#VALUE!</v>
      </c>
      <c r="CW19" t="e">
        <f>AND('2015'!P84,"AAAAAGrf/2Q=")</f>
        <v>#VALUE!</v>
      </c>
      <c r="CX19" t="e">
        <f>AND('2015'!Q84,"AAAAAGrf/2U=")</f>
        <v>#VALUE!</v>
      </c>
      <c r="CY19" t="e">
        <f>AND('2015'!R84,"AAAAAGrf/2Y=")</f>
        <v>#VALUE!</v>
      </c>
      <c r="CZ19" t="e">
        <f>AND('2015'!S84,"AAAAAGrf/2c=")</f>
        <v>#VALUE!</v>
      </c>
      <c r="DA19" t="e">
        <f>AND('2015'!T84,"AAAAAGrf/2g=")</f>
        <v>#VALUE!</v>
      </c>
      <c r="DB19" t="e">
        <f>AND('2015'!U84,"AAAAAGrf/2k=")</f>
        <v>#VALUE!</v>
      </c>
      <c r="DC19" t="e">
        <f>AND('2015'!V84,"AAAAAGrf/2o=")</f>
        <v>#VALUE!</v>
      </c>
      <c r="DD19" t="e">
        <f>AND('2015'!W84,"AAAAAGrf/2s=")</f>
        <v>#VALUE!</v>
      </c>
      <c r="DE19" t="e">
        <f>AND('2015'!X84,"AAAAAGrf/2w=")</f>
        <v>#VALUE!</v>
      </c>
      <c r="DF19" t="e">
        <f>AND('2015'!Y84,"AAAAAGrf/20=")</f>
        <v>#VALUE!</v>
      </c>
      <c r="DG19" t="e">
        <f>AND('2015'!Z84,"AAAAAGrf/24=")</f>
        <v>#VALUE!</v>
      </c>
      <c r="DH19" t="e">
        <f>AND('2015'!AA84,"AAAAAGrf/28=")</f>
        <v>#VALUE!</v>
      </c>
      <c r="DI19" t="e">
        <f>AND('2015'!AB84,"AAAAAGrf/3A=")</f>
        <v>#VALUE!</v>
      </c>
      <c r="DJ19" t="e">
        <f>AND('2015'!AC84,"AAAAAGrf/3E=")</f>
        <v>#VALUE!</v>
      </c>
      <c r="DK19" t="e">
        <f>AND('2015'!AD84,"AAAAAGrf/3I=")</f>
        <v>#VALUE!</v>
      </c>
      <c r="DL19" t="e">
        <f>AND('2015'!AE84,"AAAAAGrf/3M=")</f>
        <v>#VALUE!</v>
      </c>
      <c r="DM19" t="e">
        <f>AND('2015'!AF84,"AAAAAGrf/3Q=")</f>
        <v>#VALUE!</v>
      </c>
      <c r="DN19" t="e">
        <f>AND('2015'!AG84,"AAAAAGrf/3U=")</f>
        <v>#VALUE!</v>
      </c>
      <c r="DO19" t="e">
        <f>AND('2015'!AH84,"AAAAAGrf/3Y=")</f>
        <v>#VALUE!</v>
      </c>
      <c r="DP19" t="e">
        <f>AND('2015'!AI84,"AAAAAGrf/3c=")</f>
        <v>#VALUE!</v>
      </c>
      <c r="DQ19" t="e">
        <f>AND('2015'!AJ84,"AAAAAGrf/3g=")</f>
        <v>#VALUE!</v>
      </c>
      <c r="DR19" t="e">
        <f>AND('2015'!AK84,"AAAAAGrf/3k=")</f>
        <v>#VALUE!</v>
      </c>
      <c r="DS19" t="e">
        <f>AND('2015'!AL84,"AAAAAGrf/3o=")</f>
        <v>#VALUE!</v>
      </c>
      <c r="DT19" t="e">
        <f>AND('2015'!AM84,"AAAAAGrf/3s=")</f>
        <v>#VALUE!</v>
      </c>
      <c r="DU19" t="e">
        <f>AND('2015'!AN84,"AAAAAGrf/3w=")</f>
        <v>#VALUE!</v>
      </c>
      <c r="DV19" t="e">
        <f>AND('2015'!AO84,"AAAAAGrf/30=")</f>
        <v>#VALUE!</v>
      </c>
      <c r="DW19" t="e">
        <f>AND('2015'!AP84,"AAAAAGrf/34=")</f>
        <v>#VALUE!</v>
      </c>
      <c r="DX19" t="e">
        <f>AND('2015'!AQ84,"AAAAAGrf/38=")</f>
        <v>#VALUE!</v>
      </c>
      <c r="DY19" t="e">
        <f>AND('2015'!AR84,"AAAAAGrf/4A=")</f>
        <v>#VALUE!</v>
      </c>
      <c r="DZ19" t="e">
        <f>AND('2015'!AS84,"AAAAAGrf/4E=")</f>
        <v>#VALUE!</v>
      </c>
      <c r="EA19" t="e">
        <f>AND('2015'!AT84,"AAAAAGrf/4I=")</f>
        <v>#VALUE!</v>
      </c>
      <c r="EB19" t="e">
        <f>AND('2015'!#REF!,"AAAAAGrf/4M=")</f>
        <v>#REF!</v>
      </c>
      <c r="EC19" t="e">
        <f>AND('2015'!AU84,"AAAAAGrf/4Q=")</f>
        <v>#VALUE!</v>
      </c>
      <c r="ED19" t="e">
        <f>AND('2015'!AV84,"AAAAAGrf/4U=")</f>
        <v>#VALUE!</v>
      </c>
      <c r="EE19" t="e">
        <f>AND('2015'!AW84,"AAAAAGrf/4Y=")</f>
        <v>#VALUE!</v>
      </c>
      <c r="EF19" t="e">
        <f>AND('2015'!AX84,"AAAAAGrf/4c=")</f>
        <v>#VALUE!</v>
      </c>
      <c r="EG19" t="e">
        <f>AND('2015'!AY84,"AAAAAGrf/4g=")</f>
        <v>#VALUE!</v>
      </c>
      <c r="EH19" t="e">
        <f>AND('2015'!AZ84,"AAAAAGrf/4k=")</f>
        <v>#VALUE!</v>
      </c>
      <c r="EI19" t="e">
        <f>AND('2015'!BA84,"AAAAAGrf/4o=")</f>
        <v>#VALUE!</v>
      </c>
      <c r="EJ19" t="e">
        <f>AND('2015'!BB84,"AAAAAGrf/4s=")</f>
        <v>#VALUE!</v>
      </c>
      <c r="EK19" t="e">
        <f>AND('2015'!BC84,"AAAAAGrf/4w=")</f>
        <v>#VALUE!</v>
      </c>
      <c r="EL19" t="e">
        <f>AND('2015'!BD84,"AAAAAGrf/40=")</f>
        <v>#VALUE!</v>
      </c>
      <c r="EM19" t="e">
        <f>AND('2015'!BE84,"AAAAAGrf/44=")</f>
        <v>#VALUE!</v>
      </c>
      <c r="EN19" t="e">
        <f>AND('2015'!BF84,"AAAAAGrf/48=")</f>
        <v>#VALUE!</v>
      </c>
      <c r="EO19" t="e">
        <f>AND('2015'!BG84,"AAAAAGrf/5A=")</f>
        <v>#VALUE!</v>
      </c>
      <c r="EP19" t="e">
        <f>AND('2015'!BH84,"AAAAAGrf/5E=")</f>
        <v>#VALUE!</v>
      </c>
      <c r="EQ19" t="e">
        <f>AND('2015'!BI84,"AAAAAGrf/5I=")</f>
        <v>#VALUE!</v>
      </c>
      <c r="ER19" t="e">
        <f>AND('2015'!#REF!,"AAAAAGrf/5M=")</f>
        <v>#REF!</v>
      </c>
      <c r="ES19" t="e">
        <f>AND('2015'!BJ84,"AAAAAGrf/5Q=")</f>
        <v>#VALUE!</v>
      </c>
      <c r="ET19" t="e">
        <f>AND('2015'!BK84,"AAAAAGrf/5U=")</f>
        <v>#VALUE!</v>
      </c>
      <c r="EU19" t="e">
        <f>AND('2015'!BL84,"AAAAAGrf/5Y=")</f>
        <v>#VALUE!</v>
      </c>
      <c r="EV19" t="e">
        <f>AND('2015'!BM84,"AAAAAGrf/5c=")</f>
        <v>#VALUE!</v>
      </c>
      <c r="EW19" t="e">
        <f>AND('2015'!BY84,"AAAAAGrf/5g=")</f>
        <v>#VALUE!</v>
      </c>
      <c r="EX19">
        <f>IF('2015'!85:85,"AAAAAGrf/5k=",0)</f>
        <v>0</v>
      </c>
      <c r="EY19" t="e">
        <f>AND('2015'!A85,"AAAAAGrf/5o=")</f>
        <v>#VALUE!</v>
      </c>
      <c r="EZ19" t="e">
        <f>AND('2015'!B85,"AAAAAGrf/5s=")</f>
        <v>#VALUE!</v>
      </c>
      <c r="FA19" t="e">
        <f>AND('2015'!C85,"AAAAAGrf/5w=")</f>
        <v>#VALUE!</v>
      </c>
      <c r="FB19" t="e">
        <f>AND('2015'!D85,"AAAAAGrf/50=")</f>
        <v>#VALUE!</v>
      </c>
      <c r="FC19" t="e">
        <f>AND('2015'!E85,"AAAAAGrf/54=")</f>
        <v>#VALUE!</v>
      </c>
      <c r="FD19" t="e">
        <f>AND('2015'!F85,"AAAAAGrf/58=")</f>
        <v>#VALUE!</v>
      </c>
      <c r="FE19" t="e">
        <f>AND('2015'!G85,"AAAAAGrf/6A=")</f>
        <v>#VALUE!</v>
      </c>
      <c r="FF19" t="e">
        <f>AND('2015'!H85,"AAAAAGrf/6E=")</f>
        <v>#VALUE!</v>
      </c>
      <c r="FG19" t="e">
        <f>AND('2015'!I85,"AAAAAGrf/6I=")</f>
        <v>#VALUE!</v>
      </c>
      <c r="FH19" t="e">
        <f>AND('2015'!J85,"AAAAAGrf/6M=")</f>
        <v>#VALUE!</v>
      </c>
      <c r="FI19" t="e">
        <f>AND('2015'!K85,"AAAAAGrf/6Q=")</f>
        <v>#VALUE!</v>
      </c>
      <c r="FJ19" t="e">
        <f>AND('2015'!L85,"AAAAAGrf/6U=")</f>
        <v>#VALUE!</v>
      </c>
      <c r="FK19" t="e">
        <f>AND('2015'!M85,"AAAAAGrf/6Y=")</f>
        <v>#VALUE!</v>
      </c>
      <c r="FL19" t="e">
        <f>AND('2015'!N85,"AAAAAGrf/6c=")</f>
        <v>#VALUE!</v>
      </c>
      <c r="FM19" t="e">
        <f>AND('2015'!O85,"AAAAAGrf/6g=")</f>
        <v>#VALUE!</v>
      </c>
      <c r="FN19" t="e">
        <f>AND('2015'!P85,"AAAAAGrf/6k=")</f>
        <v>#VALUE!</v>
      </c>
      <c r="FO19" t="e">
        <f>AND('2015'!Q85,"AAAAAGrf/6o=")</f>
        <v>#VALUE!</v>
      </c>
      <c r="FP19" t="e">
        <f>AND('2015'!R85,"AAAAAGrf/6s=")</f>
        <v>#VALUE!</v>
      </c>
      <c r="FQ19" t="e">
        <f>AND('2015'!S85,"AAAAAGrf/6w=")</f>
        <v>#VALUE!</v>
      </c>
      <c r="FR19" t="e">
        <f>AND('2015'!T85,"AAAAAGrf/60=")</f>
        <v>#VALUE!</v>
      </c>
      <c r="FS19" t="e">
        <f>AND('2015'!U85,"AAAAAGrf/64=")</f>
        <v>#VALUE!</v>
      </c>
      <c r="FT19" t="e">
        <f>AND('2015'!V85,"AAAAAGrf/68=")</f>
        <v>#VALUE!</v>
      </c>
      <c r="FU19" t="e">
        <f>AND('2015'!W85,"AAAAAGrf/7A=")</f>
        <v>#VALUE!</v>
      </c>
      <c r="FV19" t="e">
        <f>AND('2015'!X85,"AAAAAGrf/7E=")</f>
        <v>#VALUE!</v>
      </c>
      <c r="FW19" t="e">
        <f>AND('2015'!Y85,"AAAAAGrf/7I=")</f>
        <v>#VALUE!</v>
      </c>
      <c r="FX19" t="e">
        <f>AND('2015'!Z85,"AAAAAGrf/7M=")</f>
        <v>#VALUE!</v>
      </c>
      <c r="FY19" t="e">
        <f>AND('2015'!AA85,"AAAAAGrf/7Q=")</f>
        <v>#VALUE!</v>
      </c>
      <c r="FZ19" t="e">
        <f>AND('2015'!AB85,"AAAAAGrf/7U=")</f>
        <v>#VALUE!</v>
      </c>
      <c r="GA19" t="e">
        <f>AND('2015'!AC85,"AAAAAGrf/7Y=")</f>
        <v>#VALUE!</v>
      </c>
      <c r="GB19" t="e">
        <f>AND('2015'!AD85,"AAAAAGrf/7c=")</f>
        <v>#VALUE!</v>
      </c>
      <c r="GC19" t="e">
        <f>AND('2015'!AE85,"AAAAAGrf/7g=")</f>
        <v>#VALUE!</v>
      </c>
      <c r="GD19" t="e">
        <f>AND('2015'!AF85,"AAAAAGrf/7k=")</f>
        <v>#VALUE!</v>
      </c>
      <c r="GE19" t="e">
        <f>AND('2015'!AG85,"AAAAAGrf/7o=")</f>
        <v>#VALUE!</v>
      </c>
      <c r="GF19" t="e">
        <f>AND('2015'!AH85,"AAAAAGrf/7s=")</f>
        <v>#VALUE!</v>
      </c>
      <c r="GG19" t="e">
        <f>AND('2015'!AI85,"AAAAAGrf/7w=")</f>
        <v>#VALUE!</v>
      </c>
      <c r="GH19" t="e">
        <f>AND('2015'!AJ85,"AAAAAGrf/70=")</f>
        <v>#VALUE!</v>
      </c>
      <c r="GI19" t="e">
        <f>AND('2015'!AK85,"AAAAAGrf/74=")</f>
        <v>#VALUE!</v>
      </c>
      <c r="GJ19" t="e">
        <f>AND('2015'!AL85,"AAAAAGrf/78=")</f>
        <v>#VALUE!</v>
      </c>
      <c r="GK19" t="e">
        <f>AND('2015'!AM85,"AAAAAGrf/8A=")</f>
        <v>#VALUE!</v>
      </c>
      <c r="GL19" t="e">
        <f>AND('2015'!AN85,"AAAAAGrf/8E=")</f>
        <v>#VALUE!</v>
      </c>
      <c r="GM19" t="e">
        <f>AND('2015'!AO85,"AAAAAGrf/8I=")</f>
        <v>#VALUE!</v>
      </c>
      <c r="GN19" t="e">
        <f>AND('2015'!AP85,"AAAAAGrf/8M=")</f>
        <v>#VALUE!</v>
      </c>
      <c r="GO19" t="e">
        <f>AND('2015'!AQ85,"AAAAAGrf/8Q=")</f>
        <v>#VALUE!</v>
      </c>
      <c r="GP19" t="e">
        <f>AND('2015'!AR85,"AAAAAGrf/8U=")</f>
        <v>#VALUE!</v>
      </c>
      <c r="GQ19" t="e">
        <f>AND('2015'!AS85,"AAAAAGrf/8Y=")</f>
        <v>#VALUE!</v>
      </c>
      <c r="GR19" t="e">
        <f>AND('2015'!AT85,"AAAAAGrf/8c=")</f>
        <v>#VALUE!</v>
      </c>
      <c r="GS19" t="e">
        <f>AND('2015'!#REF!,"AAAAAGrf/8g=")</f>
        <v>#REF!</v>
      </c>
      <c r="GT19" t="e">
        <f>AND('2015'!AU85,"AAAAAGrf/8k=")</f>
        <v>#VALUE!</v>
      </c>
      <c r="GU19" t="e">
        <f>AND('2015'!AV85,"AAAAAGrf/8o=")</f>
        <v>#VALUE!</v>
      </c>
      <c r="GV19" t="e">
        <f>AND('2015'!AW85,"AAAAAGrf/8s=")</f>
        <v>#VALUE!</v>
      </c>
      <c r="GW19" t="e">
        <f>AND('2015'!AX85,"AAAAAGrf/8w=")</f>
        <v>#VALUE!</v>
      </c>
      <c r="GX19" t="e">
        <f>AND('2015'!AY85,"AAAAAGrf/80=")</f>
        <v>#VALUE!</v>
      </c>
      <c r="GY19" t="e">
        <f>AND('2015'!AZ85,"AAAAAGrf/84=")</f>
        <v>#VALUE!</v>
      </c>
      <c r="GZ19" t="e">
        <f>AND('2015'!BA85,"AAAAAGrf/88=")</f>
        <v>#VALUE!</v>
      </c>
      <c r="HA19" t="e">
        <f>AND('2015'!BB85,"AAAAAGrf/9A=")</f>
        <v>#VALUE!</v>
      </c>
      <c r="HB19" t="e">
        <f>AND('2015'!BC85,"AAAAAGrf/9E=")</f>
        <v>#VALUE!</v>
      </c>
      <c r="HC19" t="e">
        <f>AND('2015'!BD85,"AAAAAGrf/9I=")</f>
        <v>#VALUE!</v>
      </c>
      <c r="HD19" t="e">
        <f>AND('2015'!BE85,"AAAAAGrf/9M=")</f>
        <v>#VALUE!</v>
      </c>
      <c r="HE19" t="e">
        <f>AND('2015'!BF85,"AAAAAGrf/9Q=")</f>
        <v>#VALUE!</v>
      </c>
      <c r="HF19" t="e">
        <f>AND('2015'!BG85,"AAAAAGrf/9U=")</f>
        <v>#VALUE!</v>
      </c>
      <c r="HG19" t="e">
        <f>AND('2015'!BH85,"AAAAAGrf/9Y=")</f>
        <v>#VALUE!</v>
      </c>
      <c r="HH19" t="e">
        <f>AND('2015'!BI85,"AAAAAGrf/9c=")</f>
        <v>#VALUE!</v>
      </c>
      <c r="HI19" t="e">
        <f>AND('2015'!#REF!,"AAAAAGrf/9g=")</f>
        <v>#REF!</v>
      </c>
      <c r="HJ19" t="e">
        <f>AND('2015'!BJ85,"AAAAAGrf/9k=")</f>
        <v>#VALUE!</v>
      </c>
      <c r="HK19" t="e">
        <f>AND('2015'!BK85,"AAAAAGrf/9o=")</f>
        <v>#VALUE!</v>
      </c>
      <c r="HL19" t="e">
        <f>AND('2015'!BL85,"AAAAAGrf/9s=")</f>
        <v>#VALUE!</v>
      </c>
      <c r="HM19" t="e">
        <f>AND('2015'!BM85,"AAAAAGrf/9w=")</f>
        <v>#VALUE!</v>
      </c>
      <c r="HN19" t="e">
        <f>AND('2015'!BY85,"AAAAAGrf/90=")</f>
        <v>#VALUE!</v>
      </c>
      <c r="HO19">
        <f>IF('2015'!86:86,"AAAAAGrf/94=",0)</f>
        <v>0</v>
      </c>
      <c r="HP19" t="e">
        <f>AND('2015'!A86,"AAAAAGrf/98=")</f>
        <v>#VALUE!</v>
      </c>
      <c r="HQ19" t="e">
        <f>AND('2015'!B86,"AAAAAGrf/+A=")</f>
        <v>#VALUE!</v>
      </c>
      <c r="HR19" t="e">
        <f>AND('2015'!C86,"AAAAAGrf/+E=")</f>
        <v>#VALUE!</v>
      </c>
      <c r="HS19" t="e">
        <f>AND('2015'!D86,"AAAAAGrf/+I=")</f>
        <v>#VALUE!</v>
      </c>
      <c r="HT19" t="e">
        <f>AND('2015'!E86,"AAAAAGrf/+M=")</f>
        <v>#VALUE!</v>
      </c>
      <c r="HU19" t="e">
        <f>AND('2015'!F86,"AAAAAGrf/+Q=")</f>
        <v>#VALUE!</v>
      </c>
      <c r="HV19" t="e">
        <f>AND('2015'!G86,"AAAAAGrf/+U=")</f>
        <v>#VALUE!</v>
      </c>
      <c r="HW19" t="e">
        <f>AND('2015'!H86,"AAAAAGrf/+Y=")</f>
        <v>#VALUE!</v>
      </c>
      <c r="HX19" t="e">
        <f>AND('2015'!I86,"AAAAAGrf/+c=")</f>
        <v>#VALUE!</v>
      </c>
      <c r="HY19" t="e">
        <f>AND('2015'!J86,"AAAAAGrf/+g=")</f>
        <v>#VALUE!</v>
      </c>
      <c r="HZ19" t="e">
        <f>AND('2015'!K86,"AAAAAGrf/+k=")</f>
        <v>#VALUE!</v>
      </c>
      <c r="IA19" t="e">
        <f>AND('2015'!L86,"AAAAAGrf/+o=")</f>
        <v>#VALUE!</v>
      </c>
      <c r="IB19" t="e">
        <f>AND('2015'!M86,"AAAAAGrf/+s=")</f>
        <v>#VALUE!</v>
      </c>
      <c r="IC19" t="e">
        <f>AND('2015'!N86,"AAAAAGrf/+w=")</f>
        <v>#VALUE!</v>
      </c>
      <c r="ID19" t="e">
        <f>AND('2015'!O86,"AAAAAGrf/+0=")</f>
        <v>#VALUE!</v>
      </c>
      <c r="IE19" t="e">
        <f>AND('2015'!P86,"AAAAAGrf/+4=")</f>
        <v>#VALUE!</v>
      </c>
      <c r="IF19" t="e">
        <f>AND('2015'!Q86,"AAAAAGrf/+8=")</f>
        <v>#VALUE!</v>
      </c>
      <c r="IG19" t="e">
        <f>AND('2015'!R86,"AAAAAGrf//A=")</f>
        <v>#VALUE!</v>
      </c>
      <c r="IH19" t="e">
        <f>AND('2015'!S86,"AAAAAGrf//E=")</f>
        <v>#VALUE!</v>
      </c>
      <c r="II19" t="e">
        <f>AND('2015'!T86,"AAAAAGrf//I=")</f>
        <v>#VALUE!</v>
      </c>
      <c r="IJ19" t="e">
        <f>AND('2015'!U86,"AAAAAGrf//M=")</f>
        <v>#VALUE!</v>
      </c>
      <c r="IK19" t="e">
        <f>AND('2015'!V86,"AAAAAGrf//Q=")</f>
        <v>#VALUE!</v>
      </c>
      <c r="IL19" t="e">
        <f>AND('2015'!W86,"AAAAAGrf//U=")</f>
        <v>#VALUE!</v>
      </c>
      <c r="IM19" t="e">
        <f>AND('2015'!X86,"AAAAAGrf//Y=")</f>
        <v>#VALUE!</v>
      </c>
      <c r="IN19" t="e">
        <f>AND('2015'!Y86,"AAAAAGrf//c=")</f>
        <v>#VALUE!</v>
      </c>
      <c r="IO19" t="e">
        <f>AND('2015'!Z86,"AAAAAGrf//g=")</f>
        <v>#VALUE!</v>
      </c>
      <c r="IP19" t="e">
        <f>AND('2015'!AA86,"AAAAAGrf//k=")</f>
        <v>#VALUE!</v>
      </c>
      <c r="IQ19" t="e">
        <f>AND('2015'!AB86,"AAAAAGrf//o=")</f>
        <v>#VALUE!</v>
      </c>
      <c r="IR19" t="e">
        <f>AND('2015'!AC86,"AAAAAGrf//s=")</f>
        <v>#VALUE!</v>
      </c>
      <c r="IS19" t="e">
        <f>AND('2015'!AD86,"AAAAAGrf//w=")</f>
        <v>#VALUE!</v>
      </c>
      <c r="IT19" t="e">
        <f>AND('2015'!AE86,"AAAAAGrf//0=")</f>
        <v>#VALUE!</v>
      </c>
      <c r="IU19" t="e">
        <f>AND('2015'!AF86,"AAAAAGrf//4=")</f>
        <v>#VALUE!</v>
      </c>
      <c r="IV19" t="e">
        <f>AND('2015'!AG86,"AAAAAGrf//8=")</f>
        <v>#VALUE!</v>
      </c>
    </row>
    <row r="20" spans="1:256" x14ac:dyDescent="0.25">
      <c r="A20" t="e">
        <f>AND('2015'!AH86,"AAAAAH13zgA=")</f>
        <v>#VALUE!</v>
      </c>
      <c r="B20" t="e">
        <f>AND('2015'!AI86,"AAAAAH13zgE=")</f>
        <v>#VALUE!</v>
      </c>
      <c r="C20" t="e">
        <f>AND('2015'!AJ86,"AAAAAH13zgI=")</f>
        <v>#VALUE!</v>
      </c>
      <c r="D20" t="e">
        <f>AND('2015'!AK86,"AAAAAH13zgM=")</f>
        <v>#VALUE!</v>
      </c>
      <c r="E20" t="e">
        <f>AND('2015'!AL86,"AAAAAH13zgQ=")</f>
        <v>#VALUE!</v>
      </c>
      <c r="F20" t="e">
        <f>AND('2015'!AM86,"AAAAAH13zgU=")</f>
        <v>#VALUE!</v>
      </c>
      <c r="G20" t="e">
        <f>AND('2015'!AN86,"AAAAAH13zgY=")</f>
        <v>#VALUE!</v>
      </c>
      <c r="H20" t="e">
        <f>AND('2015'!AO86,"AAAAAH13zgc=")</f>
        <v>#VALUE!</v>
      </c>
      <c r="I20" t="e">
        <f>AND('2015'!AP86,"AAAAAH13zgg=")</f>
        <v>#VALUE!</v>
      </c>
      <c r="J20" t="e">
        <f>AND('2015'!AQ86,"AAAAAH13zgk=")</f>
        <v>#VALUE!</v>
      </c>
      <c r="K20" t="e">
        <f>AND('2015'!AR86,"AAAAAH13zgo=")</f>
        <v>#VALUE!</v>
      </c>
      <c r="L20" t="e">
        <f>AND('2015'!AS86,"AAAAAH13zgs=")</f>
        <v>#VALUE!</v>
      </c>
      <c r="M20" t="e">
        <f>AND('2015'!AT86,"AAAAAH13zgw=")</f>
        <v>#VALUE!</v>
      </c>
      <c r="N20" t="e">
        <f>AND('2015'!#REF!,"AAAAAH13zg0=")</f>
        <v>#REF!</v>
      </c>
      <c r="O20" t="e">
        <f>AND('2015'!AU86,"AAAAAH13zg4=")</f>
        <v>#VALUE!</v>
      </c>
      <c r="P20" t="e">
        <f>AND('2015'!AV86,"AAAAAH13zg8=")</f>
        <v>#VALUE!</v>
      </c>
      <c r="Q20" t="e">
        <f>AND('2015'!AW86,"AAAAAH13zhA=")</f>
        <v>#VALUE!</v>
      </c>
      <c r="R20" t="e">
        <f>AND('2015'!AX86,"AAAAAH13zhE=")</f>
        <v>#VALUE!</v>
      </c>
      <c r="S20" t="e">
        <f>AND('2015'!AY86,"AAAAAH13zhI=")</f>
        <v>#VALUE!</v>
      </c>
      <c r="T20" t="e">
        <f>AND('2015'!AZ86,"AAAAAH13zhM=")</f>
        <v>#VALUE!</v>
      </c>
      <c r="U20" t="e">
        <f>AND('2015'!BA86,"AAAAAH13zhQ=")</f>
        <v>#VALUE!</v>
      </c>
      <c r="V20" t="e">
        <f>AND('2015'!BB86,"AAAAAH13zhU=")</f>
        <v>#VALUE!</v>
      </c>
      <c r="W20" t="e">
        <f>AND('2015'!BC86,"AAAAAH13zhY=")</f>
        <v>#VALUE!</v>
      </c>
      <c r="X20" t="e">
        <f>AND('2015'!BD86,"AAAAAH13zhc=")</f>
        <v>#VALUE!</v>
      </c>
      <c r="Y20" t="e">
        <f>AND('2015'!BE86,"AAAAAH13zhg=")</f>
        <v>#VALUE!</v>
      </c>
      <c r="Z20" t="e">
        <f>AND('2015'!BF86,"AAAAAH13zhk=")</f>
        <v>#VALUE!</v>
      </c>
      <c r="AA20" t="e">
        <f>AND('2015'!BG86,"AAAAAH13zho=")</f>
        <v>#VALUE!</v>
      </c>
      <c r="AB20" t="e">
        <f>AND('2015'!BH86,"AAAAAH13zhs=")</f>
        <v>#VALUE!</v>
      </c>
      <c r="AC20" t="e">
        <f>AND('2015'!BI86,"AAAAAH13zhw=")</f>
        <v>#VALUE!</v>
      </c>
      <c r="AD20" t="e">
        <f>AND('2015'!#REF!,"AAAAAH13zh0=")</f>
        <v>#REF!</v>
      </c>
      <c r="AE20" t="e">
        <f>AND('2015'!BJ86,"AAAAAH13zh4=")</f>
        <v>#VALUE!</v>
      </c>
      <c r="AF20" t="e">
        <f>AND('2015'!BK86,"AAAAAH13zh8=")</f>
        <v>#VALUE!</v>
      </c>
      <c r="AG20" t="e">
        <f>AND('2015'!BL86,"AAAAAH13ziA=")</f>
        <v>#VALUE!</v>
      </c>
      <c r="AH20" t="e">
        <f>AND('2015'!BM86,"AAAAAH13ziE=")</f>
        <v>#VALUE!</v>
      </c>
      <c r="AI20" t="e">
        <f>AND('2015'!BY86,"AAAAAH13ziI=")</f>
        <v>#VALUE!</v>
      </c>
      <c r="AJ20" t="str">
        <f>IF('2015'!87:87,"AAAAAH13ziM=",0)</f>
        <v>AAAAAH13ziM=</v>
      </c>
      <c r="AK20" t="e">
        <f>AND('2015'!A87,"AAAAAH13ziQ=")</f>
        <v>#VALUE!</v>
      </c>
      <c r="AL20" t="e">
        <f>AND('2015'!B87,"AAAAAH13ziU=")</f>
        <v>#VALUE!</v>
      </c>
      <c r="AM20" t="e">
        <f>AND('2015'!C87,"AAAAAH13ziY=")</f>
        <v>#VALUE!</v>
      </c>
      <c r="AN20" t="e">
        <f>AND('2015'!D87,"AAAAAH13zic=")</f>
        <v>#VALUE!</v>
      </c>
      <c r="AO20" t="e">
        <f>AND('2015'!E87,"AAAAAH13zig=")</f>
        <v>#VALUE!</v>
      </c>
      <c r="AP20" t="e">
        <f>AND('2015'!F87,"AAAAAH13zik=")</f>
        <v>#VALUE!</v>
      </c>
      <c r="AQ20" t="e">
        <f>AND('2015'!G87,"AAAAAH13zio=")</f>
        <v>#VALUE!</v>
      </c>
      <c r="AR20" t="e">
        <f>AND('2015'!H87,"AAAAAH13zis=")</f>
        <v>#VALUE!</v>
      </c>
      <c r="AS20" t="e">
        <f>AND('2015'!I87,"AAAAAH13ziw=")</f>
        <v>#VALUE!</v>
      </c>
      <c r="AT20" t="e">
        <f>AND('2015'!J87,"AAAAAH13zi0=")</f>
        <v>#VALUE!</v>
      </c>
      <c r="AU20" t="e">
        <f>AND('2015'!K87,"AAAAAH13zi4=")</f>
        <v>#VALUE!</v>
      </c>
      <c r="AV20" t="e">
        <f>AND('2015'!L87,"AAAAAH13zi8=")</f>
        <v>#VALUE!</v>
      </c>
      <c r="AW20" t="e">
        <f>AND('2015'!M87,"AAAAAH13zjA=")</f>
        <v>#VALUE!</v>
      </c>
      <c r="AX20" t="e">
        <f>AND('2015'!N87,"AAAAAH13zjE=")</f>
        <v>#VALUE!</v>
      </c>
      <c r="AY20" t="e">
        <f>AND('2015'!O87,"AAAAAH13zjI=")</f>
        <v>#VALUE!</v>
      </c>
      <c r="AZ20" t="e">
        <f>AND('2015'!P87,"AAAAAH13zjM=")</f>
        <v>#VALUE!</v>
      </c>
      <c r="BA20" t="e">
        <f>AND('2015'!Q87,"AAAAAH13zjQ=")</f>
        <v>#VALUE!</v>
      </c>
      <c r="BB20" t="e">
        <f>AND('2015'!R87,"AAAAAH13zjU=")</f>
        <v>#VALUE!</v>
      </c>
      <c r="BC20" t="e">
        <f>AND('2015'!S87,"AAAAAH13zjY=")</f>
        <v>#VALUE!</v>
      </c>
      <c r="BD20" t="e">
        <f>AND('2015'!T87,"AAAAAH13zjc=")</f>
        <v>#VALUE!</v>
      </c>
      <c r="BE20" t="e">
        <f>AND('2015'!U87,"AAAAAH13zjg=")</f>
        <v>#VALUE!</v>
      </c>
      <c r="BF20" t="e">
        <f>AND('2015'!V87,"AAAAAH13zjk=")</f>
        <v>#VALUE!</v>
      </c>
      <c r="BG20" t="e">
        <f>AND('2015'!W87,"AAAAAH13zjo=")</f>
        <v>#VALUE!</v>
      </c>
      <c r="BH20" t="e">
        <f>AND('2015'!X87,"AAAAAH13zjs=")</f>
        <v>#VALUE!</v>
      </c>
      <c r="BI20" t="e">
        <f>AND('2015'!Y87,"AAAAAH13zjw=")</f>
        <v>#VALUE!</v>
      </c>
      <c r="BJ20" t="e">
        <f>AND('2015'!Z87,"AAAAAH13zj0=")</f>
        <v>#VALUE!</v>
      </c>
      <c r="BK20" t="e">
        <f>AND('2015'!AA87,"AAAAAH13zj4=")</f>
        <v>#VALUE!</v>
      </c>
      <c r="BL20" t="e">
        <f>AND('2015'!AB87,"AAAAAH13zj8=")</f>
        <v>#VALUE!</v>
      </c>
      <c r="BM20" t="e">
        <f>AND('2015'!AC87,"AAAAAH13zkA=")</f>
        <v>#VALUE!</v>
      </c>
      <c r="BN20" t="e">
        <f>AND('2015'!AD87,"AAAAAH13zkE=")</f>
        <v>#VALUE!</v>
      </c>
      <c r="BO20" t="e">
        <f>AND('2015'!AE87,"AAAAAH13zkI=")</f>
        <v>#VALUE!</v>
      </c>
      <c r="BP20" t="e">
        <f>AND('2015'!AF87,"AAAAAH13zkM=")</f>
        <v>#VALUE!</v>
      </c>
      <c r="BQ20" t="e">
        <f>AND('2015'!AG87,"AAAAAH13zkQ=")</f>
        <v>#VALUE!</v>
      </c>
      <c r="BR20" t="e">
        <f>AND('2015'!AH87,"AAAAAH13zkU=")</f>
        <v>#VALUE!</v>
      </c>
      <c r="BS20" t="e">
        <f>AND('2015'!AI87,"AAAAAH13zkY=")</f>
        <v>#VALUE!</v>
      </c>
      <c r="BT20" t="e">
        <f>AND('2015'!AJ87,"AAAAAH13zkc=")</f>
        <v>#VALUE!</v>
      </c>
      <c r="BU20" t="e">
        <f>AND('2015'!AK87,"AAAAAH13zkg=")</f>
        <v>#VALUE!</v>
      </c>
      <c r="BV20" t="e">
        <f>AND('2015'!AL87,"AAAAAH13zkk=")</f>
        <v>#VALUE!</v>
      </c>
      <c r="BW20" t="e">
        <f>AND('2015'!AM87,"AAAAAH13zko=")</f>
        <v>#VALUE!</v>
      </c>
      <c r="BX20" t="e">
        <f>AND('2015'!AN87,"AAAAAH13zks=")</f>
        <v>#VALUE!</v>
      </c>
      <c r="BY20" t="e">
        <f>AND('2015'!AO87,"AAAAAH13zkw=")</f>
        <v>#VALUE!</v>
      </c>
      <c r="BZ20" t="e">
        <f>AND('2015'!AP87,"AAAAAH13zk0=")</f>
        <v>#VALUE!</v>
      </c>
      <c r="CA20" t="e">
        <f>AND('2015'!AQ87,"AAAAAH13zk4=")</f>
        <v>#VALUE!</v>
      </c>
      <c r="CB20" t="e">
        <f>AND('2015'!AR87,"AAAAAH13zk8=")</f>
        <v>#VALUE!</v>
      </c>
      <c r="CC20" t="e">
        <f>AND('2015'!AS87,"AAAAAH13zlA=")</f>
        <v>#VALUE!</v>
      </c>
      <c r="CD20" t="e">
        <f>AND('2015'!AT87,"AAAAAH13zlE=")</f>
        <v>#VALUE!</v>
      </c>
      <c r="CE20" t="e">
        <f>AND('2015'!#REF!,"AAAAAH13zlI=")</f>
        <v>#REF!</v>
      </c>
      <c r="CF20" t="e">
        <f>AND('2015'!AU87,"AAAAAH13zlM=")</f>
        <v>#VALUE!</v>
      </c>
      <c r="CG20" t="e">
        <f>AND('2015'!AV87,"AAAAAH13zlQ=")</f>
        <v>#VALUE!</v>
      </c>
      <c r="CH20" t="e">
        <f>AND('2015'!AW87,"AAAAAH13zlU=")</f>
        <v>#VALUE!</v>
      </c>
      <c r="CI20" t="e">
        <f>AND('2015'!AX87,"AAAAAH13zlY=")</f>
        <v>#VALUE!</v>
      </c>
      <c r="CJ20" t="e">
        <f>AND('2015'!AY87,"AAAAAH13zlc=")</f>
        <v>#VALUE!</v>
      </c>
      <c r="CK20" t="e">
        <f>AND('2015'!AZ87,"AAAAAH13zlg=")</f>
        <v>#VALUE!</v>
      </c>
      <c r="CL20" t="e">
        <f>AND('2015'!BA87,"AAAAAH13zlk=")</f>
        <v>#VALUE!</v>
      </c>
      <c r="CM20" t="e">
        <f>AND('2015'!BB87,"AAAAAH13zlo=")</f>
        <v>#VALUE!</v>
      </c>
      <c r="CN20" t="e">
        <f>AND('2015'!BC87,"AAAAAH13zls=")</f>
        <v>#VALUE!</v>
      </c>
      <c r="CO20" t="e">
        <f>AND('2015'!BD87,"AAAAAH13zlw=")</f>
        <v>#VALUE!</v>
      </c>
      <c r="CP20" t="e">
        <f>AND('2015'!BE87,"AAAAAH13zl0=")</f>
        <v>#VALUE!</v>
      </c>
      <c r="CQ20" t="e">
        <f>AND('2015'!BF87,"AAAAAH13zl4=")</f>
        <v>#VALUE!</v>
      </c>
      <c r="CR20" t="e">
        <f>AND('2015'!BG87,"AAAAAH13zl8=")</f>
        <v>#VALUE!</v>
      </c>
      <c r="CS20" t="e">
        <f>AND('2015'!BH87,"AAAAAH13zmA=")</f>
        <v>#VALUE!</v>
      </c>
      <c r="CT20" t="e">
        <f>AND('2015'!BI87,"AAAAAH13zmE=")</f>
        <v>#VALUE!</v>
      </c>
      <c r="CU20" t="e">
        <f>AND('2015'!#REF!,"AAAAAH13zmI=")</f>
        <v>#REF!</v>
      </c>
      <c r="CV20" t="e">
        <f>AND('2015'!BJ87,"AAAAAH13zmM=")</f>
        <v>#VALUE!</v>
      </c>
      <c r="CW20" t="e">
        <f>AND('2015'!BK87,"AAAAAH13zmQ=")</f>
        <v>#VALUE!</v>
      </c>
      <c r="CX20" t="e">
        <f>AND('2015'!BL87,"AAAAAH13zmU=")</f>
        <v>#VALUE!</v>
      </c>
      <c r="CY20" t="e">
        <f>AND('2015'!BM87,"AAAAAH13zmY=")</f>
        <v>#VALUE!</v>
      </c>
      <c r="CZ20" t="e">
        <f>AND('2015'!BY87,"AAAAAH13zmc=")</f>
        <v>#VALUE!</v>
      </c>
      <c r="DA20">
        <f>IF('2015'!88:88,"AAAAAH13zmg=",0)</f>
        <v>0</v>
      </c>
      <c r="DB20" t="e">
        <f>AND('2015'!A88,"AAAAAH13zmk=")</f>
        <v>#VALUE!</v>
      </c>
      <c r="DC20" t="e">
        <f>AND('2015'!B88,"AAAAAH13zmo=")</f>
        <v>#VALUE!</v>
      </c>
      <c r="DD20" t="e">
        <f>AND('2015'!C88,"AAAAAH13zms=")</f>
        <v>#VALUE!</v>
      </c>
      <c r="DE20" t="e">
        <f>AND('2015'!D88,"AAAAAH13zmw=")</f>
        <v>#VALUE!</v>
      </c>
      <c r="DF20" t="e">
        <f>AND('2015'!E88,"AAAAAH13zm0=")</f>
        <v>#VALUE!</v>
      </c>
      <c r="DG20" t="e">
        <f>AND('2015'!F88,"AAAAAH13zm4=")</f>
        <v>#VALUE!</v>
      </c>
      <c r="DH20" t="e">
        <f>AND('2015'!G88,"AAAAAH13zm8=")</f>
        <v>#VALUE!</v>
      </c>
      <c r="DI20" t="e">
        <f>AND('2015'!H88,"AAAAAH13znA=")</f>
        <v>#VALUE!</v>
      </c>
      <c r="DJ20" t="e">
        <f>AND('2015'!I88,"AAAAAH13znE=")</f>
        <v>#VALUE!</v>
      </c>
      <c r="DK20" t="e">
        <f>AND('2015'!J88,"AAAAAH13znI=")</f>
        <v>#VALUE!</v>
      </c>
      <c r="DL20" t="e">
        <f>AND('2015'!K88,"AAAAAH13znM=")</f>
        <v>#VALUE!</v>
      </c>
      <c r="DM20" t="e">
        <f>AND('2015'!L88,"AAAAAH13znQ=")</f>
        <v>#VALUE!</v>
      </c>
      <c r="DN20" t="e">
        <f>AND('2015'!M88,"AAAAAH13znU=")</f>
        <v>#VALUE!</v>
      </c>
      <c r="DO20" t="e">
        <f>AND('2015'!N88,"AAAAAH13znY=")</f>
        <v>#VALUE!</v>
      </c>
      <c r="DP20" t="e">
        <f>AND('2015'!O88,"AAAAAH13znc=")</f>
        <v>#VALUE!</v>
      </c>
      <c r="DQ20" t="e">
        <f>AND('2015'!P88,"AAAAAH13zng=")</f>
        <v>#VALUE!</v>
      </c>
      <c r="DR20" t="e">
        <f>AND('2015'!Q88,"AAAAAH13znk=")</f>
        <v>#VALUE!</v>
      </c>
      <c r="DS20" t="e">
        <f>AND('2015'!R88,"AAAAAH13zno=")</f>
        <v>#VALUE!</v>
      </c>
      <c r="DT20" t="e">
        <f>AND('2015'!S88,"AAAAAH13zns=")</f>
        <v>#VALUE!</v>
      </c>
      <c r="DU20" t="e">
        <f>AND('2015'!T88,"AAAAAH13znw=")</f>
        <v>#VALUE!</v>
      </c>
      <c r="DV20" t="e">
        <f>AND('2015'!U88,"AAAAAH13zn0=")</f>
        <v>#VALUE!</v>
      </c>
      <c r="DW20" t="e">
        <f>AND('2015'!V88,"AAAAAH13zn4=")</f>
        <v>#VALUE!</v>
      </c>
      <c r="DX20" t="e">
        <f>AND('2015'!W88,"AAAAAH13zn8=")</f>
        <v>#VALUE!</v>
      </c>
      <c r="DY20" t="e">
        <f>AND('2015'!X88,"AAAAAH13zoA=")</f>
        <v>#VALUE!</v>
      </c>
      <c r="DZ20" t="e">
        <f>AND('2015'!Y88,"AAAAAH13zoE=")</f>
        <v>#VALUE!</v>
      </c>
      <c r="EA20" t="e">
        <f>AND('2015'!Z88,"AAAAAH13zoI=")</f>
        <v>#VALUE!</v>
      </c>
      <c r="EB20" t="e">
        <f>AND('2015'!AA88,"AAAAAH13zoM=")</f>
        <v>#VALUE!</v>
      </c>
      <c r="EC20" t="e">
        <f>AND('2015'!AB88,"AAAAAH13zoQ=")</f>
        <v>#VALUE!</v>
      </c>
      <c r="ED20" t="e">
        <f>AND('2015'!AC88,"AAAAAH13zoU=")</f>
        <v>#VALUE!</v>
      </c>
      <c r="EE20" t="e">
        <f>AND('2015'!AD88,"AAAAAH13zoY=")</f>
        <v>#VALUE!</v>
      </c>
      <c r="EF20" t="e">
        <f>AND('2015'!AE88,"AAAAAH13zoc=")</f>
        <v>#VALUE!</v>
      </c>
      <c r="EG20" t="e">
        <f>AND('2015'!AF88,"AAAAAH13zog=")</f>
        <v>#VALUE!</v>
      </c>
      <c r="EH20" t="e">
        <f>AND('2015'!AG88,"AAAAAH13zok=")</f>
        <v>#VALUE!</v>
      </c>
      <c r="EI20" t="e">
        <f>AND('2015'!AH88,"AAAAAH13zoo=")</f>
        <v>#VALUE!</v>
      </c>
      <c r="EJ20" t="e">
        <f>AND('2015'!AI88,"AAAAAH13zos=")</f>
        <v>#VALUE!</v>
      </c>
      <c r="EK20" t="e">
        <f>AND('2015'!AJ88,"AAAAAH13zow=")</f>
        <v>#VALUE!</v>
      </c>
      <c r="EL20" t="e">
        <f>AND('2015'!AK88,"AAAAAH13zo0=")</f>
        <v>#VALUE!</v>
      </c>
      <c r="EM20" t="e">
        <f>AND('2015'!AL88,"AAAAAH13zo4=")</f>
        <v>#VALUE!</v>
      </c>
      <c r="EN20" t="e">
        <f>AND('2015'!AM88,"AAAAAH13zo8=")</f>
        <v>#VALUE!</v>
      </c>
      <c r="EO20" t="e">
        <f>AND('2015'!AN88,"AAAAAH13zpA=")</f>
        <v>#VALUE!</v>
      </c>
      <c r="EP20" t="e">
        <f>AND('2015'!AO88,"AAAAAH13zpE=")</f>
        <v>#VALUE!</v>
      </c>
      <c r="EQ20" t="e">
        <f>AND('2015'!AP88,"AAAAAH13zpI=")</f>
        <v>#VALUE!</v>
      </c>
      <c r="ER20" t="e">
        <f>AND('2015'!AQ88,"AAAAAH13zpM=")</f>
        <v>#VALUE!</v>
      </c>
      <c r="ES20" t="e">
        <f>AND('2015'!AR88,"AAAAAH13zpQ=")</f>
        <v>#VALUE!</v>
      </c>
      <c r="ET20" t="e">
        <f>AND('2015'!AS88,"AAAAAH13zpU=")</f>
        <v>#VALUE!</v>
      </c>
      <c r="EU20" t="e">
        <f>AND('2015'!AT88,"AAAAAH13zpY=")</f>
        <v>#VALUE!</v>
      </c>
      <c r="EV20" t="e">
        <f>AND('2015'!#REF!,"AAAAAH13zpc=")</f>
        <v>#REF!</v>
      </c>
      <c r="EW20" t="e">
        <f>AND('2015'!AU88,"AAAAAH13zpg=")</f>
        <v>#VALUE!</v>
      </c>
      <c r="EX20" t="e">
        <f>AND('2015'!AV88,"AAAAAH13zpk=")</f>
        <v>#VALUE!</v>
      </c>
      <c r="EY20" t="e">
        <f>AND('2015'!AW88,"AAAAAH13zpo=")</f>
        <v>#VALUE!</v>
      </c>
      <c r="EZ20" t="e">
        <f>AND('2015'!AX88,"AAAAAH13zps=")</f>
        <v>#VALUE!</v>
      </c>
      <c r="FA20" t="e">
        <f>AND('2015'!AY88,"AAAAAH13zpw=")</f>
        <v>#VALUE!</v>
      </c>
      <c r="FB20" t="e">
        <f>AND('2015'!AZ88,"AAAAAH13zp0=")</f>
        <v>#VALUE!</v>
      </c>
      <c r="FC20" t="e">
        <f>AND('2015'!BA88,"AAAAAH13zp4=")</f>
        <v>#VALUE!</v>
      </c>
      <c r="FD20" t="e">
        <f>AND('2015'!BB88,"AAAAAH13zp8=")</f>
        <v>#VALUE!</v>
      </c>
      <c r="FE20" t="e">
        <f>AND('2015'!BC88,"AAAAAH13zqA=")</f>
        <v>#VALUE!</v>
      </c>
      <c r="FF20" t="e">
        <f>AND('2015'!BD88,"AAAAAH13zqE=")</f>
        <v>#VALUE!</v>
      </c>
      <c r="FG20" t="e">
        <f>AND('2015'!BE88,"AAAAAH13zqI=")</f>
        <v>#VALUE!</v>
      </c>
      <c r="FH20" t="e">
        <f>AND('2015'!BF88,"AAAAAH13zqM=")</f>
        <v>#VALUE!</v>
      </c>
      <c r="FI20" t="e">
        <f>AND('2015'!BG88,"AAAAAH13zqQ=")</f>
        <v>#VALUE!</v>
      </c>
      <c r="FJ20" t="e">
        <f>AND('2015'!BH88,"AAAAAH13zqU=")</f>
        <v>#VALUE!</v>
      </c>
      <c r="FK20" t="e">
        <f>AND('2015'!BI88,"AAAAAH13zqY=")</f>
        <v>#VALUE!</v>
      </c>
      <c r="FL20" t="e">
        <f>AND('2015'!#REF!,"AAAAAH13zqc=")</f>
        <v>#REF!</v>
      </c>
      <c r="FM20" t="e">
        <f>AND('2015'!BJ88,"AAAAAH13zqg=")</f>
        <v>#VALUE!</v>
      </c>
      <c r="FN20" t="e">
        <f>AND('2015'!BK88,"AAAAAH13zqk=")</f>
        <v>#VALUE!</v>
      </c>
      <c r="FO20" t="e">
        <f>AND('2015'!BL88,"AAAAAH13zqo=")</f>
        <v>#VALUE!</v>
      </c>
      <c r="FP20" t="e">
        <f>AND('2015'!BM88,"AAAAAH13zqs=")</f>
        <v>#VALUE!</v>
      </c>
      <c r="FQ20" t="e">
        <f>AND('2015'!BY88,"AAAAAH13zqw=")</f>
        <v>#VALUE!</v>
      </c>
      <c r="FR20">
        <f>IF('2015'!28:28,"AAAAAH13zq0=",0)</f>
        <v>0</v>
      </c>
      <c r="FS20" t="e">
        <f>AND('2015'!A28,"AAAAAH13zq4=")</f>
        <v>#VALUE!</v>
      </c>
      <c r="FT20" t="e">
        <f>AND('2015'!B28,"AAAAAH13zq8=")</f>
        <v>#VALUE!</v>
      </c>
      <c r="FU20" t="e">
        <f>AND('2015'!C28,"AAAAAH13zrA=")</f>
        <v>#VALUE!</v>
      </c>
      <c r="FV20" t="e">
        <f>AND('2015'!#REF!,"AAAAAH13zrE=")</f>
        <v>#REF!</v>
      </c>
      <c r="FW20" t="e">
        <f>AND('2015'!#REF!,"AAAAAH13zrI=")</f>
        <v>#REF!</v>
      </c>
      <c r="FX20" t="e">
        <f>AND('2015'!#REF!,"AAAAAH13zrM=")</f>
        <v>#REF!</v>
      </c>
      <c r="FY20" t="e">
        <f>AND('2015'!G28,"AAAAAH13zrQ=")</f>
        <v>#VALUE!</v>
      </c>
      <c r="FZ20" t="e">
        <f>AND('2015'!H28,"AAAAAH13zrU=")</f>
        <v>#VALUE!</v>
      </c>
      <c r="GA20" t="e">
        <f>AND('2015'!I28,"AAAAAH13zrY=")</f>
        <v>#VALUE!</v>
      </c>
      <c r="GB20" t="e">
        <f>AND('2015'!J28,"AAAAAH13zrc=")</f>
        <v>#VALUE!</v>
      </c>
      <c r="GC20" t="e">
        <f>AND('2015'!K28,"AAAAAH13zrg=")</f>
        <v>#VALUE!</v>
      </c>
      <c r="GD20" t="e">
        <f>AND('2015'!L28,"AAAAAH13zrk=")</f>
        <v>#VALUE!</v>
      </c>
      <c r="GE20" t="e">
        <f>AND('2015'!M28,"AAAAAH13zro=")</f>
        <v>#VALUE!</v>
      </c>
      <c r="GF20" t="e">
        <f>AND('2015'!N28,"AAAAAH13zrs=")</f>
        <v>#VALUE!</v>
      </c>
      <c r="GG20" t="e">
        <f>AND('2015'!O28,"AAAAAH13zrw=")</f>
        <v>#VALUE!</v>
      </c>
      <c r="GH20" t="e">
        <f>AND('2015'!P28,"AAAAAH13zr0=")</f>
        <v>#VALUE!</v>
      </c>
      <c r="GI20" t="e">
        <f>AND('2015'!Q28,"AAAAAH13zr4=")</f>
        <v>#VALUE!</v>
      </c>
      <c r="GJ20" t="e">
        <f>AND('2015'!R28,"AAAAAH13zr8=")</f>
        <v>#VALUE!</v>
      </c>
      <c r="GK20" t="e">
        <f>AND('2015'!S28,"AAAAAH13zsA=")</f>
        <v>#VALUE!</v>
      </c>
      <c r="GL20" t="e">
        <f>AND('2015'!T28,"AAAAAH13zsE=")</f>
        <v>#VALUE!</v>
      </c>
      <c r="GM20" t="e">
        <f>AND('2015'!U28,"AAAAAH13zsI=")</f>
        <v>#VALUE!</v>
      </c>
      <c r="GN20" t="e">
        <f>AND('2015'!V28,"AAAAAH13zsM=")</f>
        <v>#VALUE!</v>
      </c>
      <c r="GO20" t="e">
        <f>AND('2015'!W28,"AAAAAH13zsQ=")</f>
        <v>#VALUE!</v>
      </c>
      <c r="GP20" t="e">
        <f>AND('2015'!X28,"AAAAAH13zsU=")</f>
        <v>#VALUE!</v>
      </c>
      <c r="GQ20" t="e">
        <f>AND('2015'!Y28,"AAAAAH13zsY=")</f>
        <v>#VALUE!</v>
      </c>
      <c r="GR20" t="e">
        <f>AND('2015'!Z28,"AAAAAH13zsc=")</f>
        <v>#VALUE!</v>
      </c>
      <c r="GS20" t="e">
        <f>AND('2015'!AA28,"AAAAAH13zsg=")</f>
        <v>#VALUE!</v>
      </c>
      <c r="GT20" t="e">
        <f>AND('2015'!AB28,"AAAAAH13zsk=")</f>
        <v>#VALUE!</v>
      </c>
      <c r="GU20" t="e">
        <f>AND('2015'!AC28,"AAAAAH13zso=")</f>
        <v>#VALUE!</v>
      </c>
      <c r="GV20" t="e">
        <f>AND('2015'!AD28,"AAAAAH13zss=")</f>
        <v>#VALUE!</v>
      </c>
      <c r="GW20" t="e">
        <f>AND('2015'!AE28,"AAAAAH13zsw=")</f>
        <v>#VALUE!</v>
      </c>
      <c r="GX20" t="e">
        <f>AND('2015'!AF28,"AAAAAH13zs0=")</f>
        <v>#VALUE!</v>
      </c>
      <c r="GY20" t="e">
        <f>AND('2015'!AG28,"AAAAAH13zs4=")</f>
        <v>#VALUE!</v>
      </c>
      <c r="GZ20" t="e">
        <f>AND('2015'!AH28,"AAAAAH13zs8=")</f>
        <v>#VALUE!</v>
      </c>
      <c r="HA20" t="e">
        <f>AND('2015'!AI28,"AAAAAH13ztA=")</f>
        <v>#VALUE!</v>
      </c>
      <c r="HB20" t="e">
        <f>AND('2015'!AJ28,"AAAAAH13ztE=")</f>
        <v>#VALUE!</v>
      </c>
      <c r="HC20" t="e">
        <f>AND('2015'!AK28,"AAAAAH13ztI=")</f>
        <v>#VALUE!</v>
      </c>
      <c r="HD20" t="e">
        <f>AND('2015'!AL28,"AAAAAH13ztM=")</f>
        <v>#VALUE!</v>
      </c>
      <c r="HE20" t="e">
        <f>AND('2015'!AM28,"AAAAAH13ztQ=")</f>
        <v>#VALUE!</v>
      </c>
      <c r="HF20" t="e">
        <f>AND('2015'!AN28,"AAAAAH13ztU=")</f>
        <v>#VALUE!</v>
      </c>
      <c r="HG20" t="e">
        <f>AND('2015'!AO28,"AAAAAH13ztY=")</f>
        <v>#VALUE!</v>
      </c>
      <c r="HH20" t="e">
        <f>AND('2015'!AP28,"AAAAAH13ztc=")</f>
        <v>#VALUE!</v>
      </c>
      <c r="HI20" t="e">
        <f>AND('2015'!AQ28,"AAAAAH13ztg=")</f>
        <v>#VALUE!</v>
      </c>
      <c r="HJ20" t="e">
        <f>AND('2015'!AR28,"AAAAAH13ztk=")</f>
        <v>#VALUE!</v>
      </c>
      <c r="HK20" t="e">
        <f>AND('2015'!AS28,"AAAAAH13zto=")</f>
        <v>#VALUE!</v>
      </c>
      <c r="HL20" t="e">
        <f>AND('2015'!AT28,"AAAAAH13zts=")</f>
        <v>#VALUE!</v>
      </c>
      <c r="HM20" t="e">
        <f>AND('2015'!#REF!,"AAAAAH13ztw=")</f>
        <v>#REF!</v>
      </c>
      <c r="HN20" t="e">
        <f>AND('2015'!AU28,"AAAAAH13zt0=")</f>
        <v>#VALUE!</v>
      </c>
      <c r="HO20" t="e">
        <f>AND('2015'!AV28,"AAAAAH13zt4=")</f>
        <v>#VALUE!</v>
      </c>
      <c r="HP20" t="e">
        <f>AND('2015'!AW28,"AAAAAH13zt8=")</f>
        <v>#VALUE!</v>
      </c>
      <c r="HQ20" t="e">
        <f>AND('2015'!AX28,"AAAAAH13zuA=")</f>
        <v>#VALUE!</v>
      </c>
      <c r="HR20" t="e">
        <f>AND('2015'!AY28,"AAAAAH13zuE=")</f>
        <v>#VALUE!</v>
      </c>
      <c r="HS20" t="e">
        <f>AND('2015'!AZ28,"AAAAAH13zuI=")</f>
        <v>#VALUE!</v>
      </c>
      <c r="HT20" t="e">
        <f>AND('2015'!BA28,"AAAAAH13zuM=")</f>
        <v>#VALUE!</v>
      </c>
      <c r="HU20" t="e">
        <f>AND('2015'!BB28,"AAAAAH13zuQ=")</f>
        <v>#VALUE!</v>
      </c>
      <c r="HV20" t="e">
        <f>AND('2015'!BC28,"AAAAAH13zuU=")</f>
        <v>#VALUE!</v>
      </c>
      <c r="HW20" t="e">
        <f>AND('2015'!BD28,"AAAAAH13zuY=")</f>
        <v>#VALUE!</v>
      </c>
      <c r="HX20" t="e">
        <f>AND('2015'!BE28,"AAAAAH13zuc=")</f>
        <v>#VALUE!</v>
      </c>
      <c r="HY20" t="e">
        <f>AND('2015'!BF28,"AAAAAH13zug=")</f>
        <v>#VALUE!</v>
      </c>
      <c r="HZ20" t="e">
        <f>AND('2015'!BG28,"AAAAAH13zuk=")</f>
        <v>#VALUE!</v>
      </c>
      <c r="IA20" t="e">
        <f>AND('2015'!BH28,"AAAAAH13zuo=")</f>
        <v>#VALUE!</v>
      </c>
      <c r="IB20" t="e">
        <f>AND('2015'!BI28,"AAAAAH13zus=")</f>
        <v>#VALUE!</v>
      </c>
      <c r="IC20" t="e">
        <f>AND('2015'!#REF!,"AAAAAH13zuw=")</f>
        <v>#REF!</v>
      </c>
      <c r="ID20" t="e">
        <f>AND('2015'!BJ28,"AAAAAH13zu0=")</f>
        <v>#VALUE!</v>
      </c>
      <c r="IE20" t="e">
        <f>AND('2015'!BK28,"AAAAAH13zu4=")</f>
        <v>#VALUE!</v>
      </c>
      <c r="IF20" t="e">
        <f>AND('2015'!BL28,"AAAAAH13zu8=")</f>
        <v>#VALUE!</v>
      </c>
      <c r="IG20" t="e">
        <f>AND('2015'!BM28,"AAAAAH13zvA=")</f>
        <v>#VALUE!</v>
      </c>
      <c r="IH20" t="e">
        <f>AND('2015'!BY28,"AAAAAH13zvE=")</f>
        <v>#VALUE!</v>
      </c>
      <c r="II20">
        <f>IF('2015'!89:89,"AAAAAH13zvI=",0)</f>
        <v>0</v>
      </c>
      <c r="IJ20" t="e">
        <f>AND('2015'!A89,"AAAAAH13zvM=")</f>
        <v>#VALUE!</v>
      </c>
      <c r="IK20" t="e">
        <f>AND('2015'!B89,"AAAAAH13zvQ=")</f>
        <v>#VALUE!</v>
      </c>
      <c r="IL20" t="e">
        <f>AND('2015'!C89,"AAAAAH13zvU=")</f>
        <v>#VALUE!</v>
      </c>
      <c r="IM20" t="e">
        <f>AND('2015'!D89,"AAAAAH13zvY=")</f>
        <v>#VALUE!</v>
      </c>
      <c r="IN20" t="e">
        <f>AND('2015'!E89,"AAAAAH13zvc=")</f>
        <v>#VALUE!</v>
      </c>
      <c r="IO20" t="e">
        <f>AND('2015'!F89,"AAAAAH13zvg=")</f>
        <v>#VALUE!</v>
      </c>
      <c r="IP20" t="e">
        <f>AND('2015'!G89,"AAAAAH13zvk=")</f>
        <v>#VALUE!</v>
      </c>
      <c r="IQ20" t="e">
        <f>AND('2015'!H89,"AAAAAH13zvo=")</f>
        <v>#VALUE!</v>
      </c>
      <c r="IR20" t="e">
        <f>AND('2015'!I89,"AAAAAH13zvs=")</f>
        <v>#VALUE!</v>
      </c>
      <c r="IS20" t="e">
        <f>AND('2015'!J89,"AAAAAH13zvw=")</f>
        <v>#VALUE!</v>
      </c>
      <c r="IT20" t="e">
        <f>AND('2015'!K89,"AAAAAH13zv0=")</f>
        <v>#VALUE!</v>
      </c>
      <c r="IU20" t="e">
        <f>AND('2015'!L89,"AAAAAH13zv4=")</f>
        <v>#VALUE!</v>
      </c>
      <c r="IV20" t="e">
        <f>AND('2015'!M89,"AAAAAH13zv8=")</f>
        <v>#VALUE!</v>
      </c>
    </row>
    <row r="21" spans="1:256" x14ac:dyDescent="0.25">
      <c r="A21" t="e">
        <f>AND('2015'!N89,"AAAAAH+j1QA=")</f>
        <v>#VALUE!</v>
      </c>
      <c r="B21" t="e">
        <f>AND('2015'!O89,"AAAAAH+j1QE=")</f>
        <v>#VALUE!</v>
      </c>
      <c r="C21" t="e">
        <f>AND('2015'!P89,"AAAAAH+j1QI=")</f>
        <v>#VALUE!</v>
      </c>
      <c r="D21" t="e">
        <f>AND('2015'!Q89,"AAAAAH+j1QM=")</f>
        <v>#VALUE!</v>
      </c>
      <c r="E21" t="e">
        <f>AND('2015'!R89,"AAAAAH+j1QQ=")</f>
        <v>#VALUE!</v>
      </c>
      <c r="F21" t="e">
        <f>AND('2015'!S89,"AAAAAH+j1QU=")</f>
        <v>#VALUE!</v>
      </c>
      <c r="G21" t="e">
        <f>AND('2015'!T89,"AAAAAH+j1QY=")</f>
        <v>#VALUE!</v>
      </c>
      <c r="H21" t="e">
        <f>AND('2015'!U89,"AAAAAH+j1Qc=")</f>
        <v>#VALUE!</v>
      </c>
      <c r="I21" t="e">
        <f>AND('2015'!V89,"AAAAAH+j1Qg=")</f>
        <v>#VALUE!</v>
      </c>
      <c r="J21" t="e">
        <f>AND('2015'!W89,"AAAAAH+j1Qk=")</f>
        <v>#VALUE!</v>
      </c>
      <c r="K21" t="e">
        <f>AND('2015'!X89,"AAAAAH+j1Qo=")</f>
        <v>#VALUE!</v>
      </c>
      <c r="L21" t="e">
        <f>AND('2015'!Y89,"AAAAAH+j1Qs=")</f>
        <v>#VALUE!</v>
      </c>
      <c r="M21" t="e">
        <f>AND('2015'!Z89,"AAAAAH+j1Qw=")</f>
        <v>#VALUE!</v>
      </c>
      <c r="N21" t="e">
        <f>AND('2015'!AA89,"AAAAAH+j1Q0=")</f>
        <v>#VALUE!</v>
      </c>
      <c r="O21" t="e">
        <f>AND('2015'!AB89,"AAAAAH+j1Q4=")</f>
        <v>#VALUE!</v>
      </c>
      <c r="P21" t="e">
        <f>AND('2015'!AC89,"AAAAAH+j1Q8=")</f>
        <v>#VALUE!</v>
      </c>
      <c r="Q21" t="e">
        <f>AND('2015'!AD89,"AAAAAH+j1RA=")</f>
        <v>#VALUE!</v>
      </c>
      <c r="R21" t="e">
        <f>AND('2015'!AE89,"AAAAAH+j1RE=")</f>
        <v>#VALUE!</v>
      </c>
      <c r="S21" t="e">
        <f>AND('2015'!AF89,"AAAAAH+j1RI=")</f>
        <v>#VALUE!</v>
      </c>
      <c r="T21" t="e">
        <f>AND('2015'!AG89,"AAAAAH+j1RM=")</f>
        <v>#VALUE!</v>
      </c>
      <c r="U21" t="e">
        <f>AND('2015'!AH89,"AAAAAH+j1RQ=")</f>
        <v>#VALUE!</v>
      </c>
      <c r="V21" t="e">
        <f>AND('2015'!AI89,"AAAAAH+j1RU=")</f>
        <v>#VALUE!</v>
      </c>
      <c r="W21" t="e">
        <f>AND('2015'!AJ89,"AAAAAH+j1RY=")</f>
        <v>#VALUE!</v>
      </c>
      <c r="X21" t="e">
        <f>AND('2015'!AK89,"AAAAAH+j1Rc=")</f>
        <v>#VALUE!</v>
      </c>
      <c r="Y21" t="e">
        <f>AND('2015'!AL89,"AAAAAH+j1Rg=")</f>
        <v>#VALUE!</v>
      </c>
      <c r="Z21" t="e">
        <f>AND('2015'!AM89,"AAAAAH+j1Rk=")</f>
        <v>#VALUE!</v>
      </c>
      <c r="AA21" t="e">
        <f>AND('2015'!AN89,"AAAAAH+j1Ro=")</f>
        <v>#VALUE!</v>
      </c>
      <c r="AB21" t="e">
        <f>AND('2015'!AO89,"AAAAAH+j1Rs=")</f>
        <v>#VALUE!</v>
      </c>
      <c r="AC21" t="e">
        <f>AND('2015'!AP89,"AAAAAH+j1Rw=")</f>
        <v>#VALUE!</v>
      </c>
      <c r="AD21" t="e">
        <f>AND('2015'!AQ89,"AAAAAH+j1R0=")</f>
        <v>#VALUE!</v>
      </c>
      <c r="AE21" t="e">
        <f>AND('2015'!AR89,"AAAAAH+j1R4=")</f>
        <v>#VALUE!</v>
      </c>
      <c r="AF21" t="e">
        <f>AND('2015'!AS89,"AAAAAH+j1R8=")</f>
        <v>#VALUE!</v>
      </c>
      <c r="AG21" t="e">
        <f>AND('2015'!AT89,"AAAAAH+j1SA=")</f>
        <v>#VALUE!</v>
      </c>
      <c r="AH21" t="e">
        <f>AND('2015'!#REF!,"AAAAAH+j1SE=")</f>
        <v>#REF!</v>
      </c>
      <c r="AI21" t="e">
        <f>AND('2015'!AU89,"AAAAAH+j1SI=")</f>
        <v>#VALUE!</v>
      </c>
      <c r="AJ21" t="e">
        <f>AND('2015'!AV89,"AAAAAH+j1SM=")</f>
        <v>#VALUE!</v>
      </c>
      <c r="AK21" t="e">
        <f>AND('2015'!AW89,"AAAAAH+j1SQ=")</f>
        <v>#VALUE!</v>
      </c>
      <c r="AL21" t="e">
        <f>AND('2015'!AX89,"AAAAAH+j1SU=")</f>
        <v>#VALUE!</v>
      </c>
      <c r="AM21" t="e">
        <f>AND('2015'!AY89,"AAAAAH+j1SY=")</f>
        <v>#VALUE!</v>
      </c>
      <c r="AN21" t="e">
        <f>AND('2015'!AZ89,"AAAAAH+j1Sc=")</f>
        <v>#VALUE!</v>
      </c>
      <c r="AO21" t="e">
        <f>AND('2015'!BA89,"AAAAAH+j1Sg=")</f>
        <v>#VALUE!</v>
      </c>
      <c r="AP21" t="e">
        <f>AND('2015'!BB89,"AAAAAH+j1Sk=")</f>
        <v>#VALUE!</v>
      </c>
      <c r="AQ21" t="e">
        <f>AND('2015'!BC89,"AAAAAH+j1So=")</f>
        <v>#VALUE!</v>
      </c>
      <c r="AR21" t="e">
        <f>AND('2015'!BD89,"AAAAAH+j1Ss=")</f>
        <v>#VALUE!</v>
      </c>
      <c r="AS21" t="e">
        <f>AND('2015'!BE89,"AAAAAH+j1Sw=")</f>
        <v>#VALUE!</v>
      </c>
      <c r="AT21" t="e">
        <f>AND('2015'!BF89,"AAAAAH+j1S0=")</f>
        <v>#VALUE!</v>
      </c>
      <c r="AU21" t="e">
        <f>AND('2015'!BG89,"AAAAAH+j1S4=")</f>
        <v>#VALUE!</v>
      </c>
      <c r="AV21" t="e">
        <f>AND('2015'!BH89,"AAAAAH+j1S8=")</f>
        <v>#VALUE!</v>
      </c>
      <c r="AW21" t="e">
        <f>AND('2015'!BI89,"AAAAAH+j1TA=")</f>
        <v>#VALUE!</v>
      </c>
      <c r="AX21" t="e">
        <f>AND('2015'!#REF!,"AAAAAH+j1TE=")</f>
        <v>#REF!</v>
      </c>
      <c r="AY21" t="e">
        <f>AND('2015'!BJ89,"AAAAAH+j1TI=")</f>
        <v>#VALUE!</v>
      </c>
      <c r="AZ21" t="e">
        <f>AND('2015'!BK89,"AAAAAH+j1TM=")</f>
        <v>#VALUE!</v>
      </c>
      <c r="BA21" t="e">
        <f>AND('2015'!BL89,"AAAAAH+j1TQ=")</f>
        <v>#VALUE!</v>
      </c>
      <c r="BB21" t="e">
        <f>AND('2015'!BM89,"AAAAAH+j1TU=")</f>
        <v>#VALUE!</v>
      </c>
      <c r="BC21" t="e">
        <f>AND('2015'!BY89,"AAAAAH+j1TY=")</f>
        <v>#VALUE!</v>
      </c>
      <c r="BD21" t="str">
        <f>IF('2015'!90:90,"AAAAAH+j1Tc=",0)</f>
        <v>AAAAAH+j1Tc=</v>
      </c>
      <c r="BE21" t="e">
        <f>AND('2015'!A90,"AAAAAH+j1Tg=")</f>
        <v>#VALUE!</v>
      </c>
      <c r="BF21" t="e">
        <f>AND('2015'!B90,"AAAAAH+j1Tk=")</f>
        <v>#VALUE!</v>
      </c>
      <c r="BG21" t="e">
        <f>AND('2015'!C90,"AAAAAH+j1To=")</f>
        <v>#VALUE!</v>
      </c>
      <c r="BH21" t="e">
        <f>AND('2015'!D90,"AAAAAH+j1Ts=")</f>
        <v>#VALUE!</v>
      </c>
      <c r="BI21" t="e">
        <f>AND('2015'!E90,"AAAAAH+j1Tw=")</f>
        <v>#VALUE!</v>
      </c>
      <c r="BJ21" t="e">
        <f>AND('2015'!F90,"AAAAAH+j1T0=")</f>
        <v>#VALUE!</v>
      </c>
      <c r="BK21" t="e">
        <f>AND('2015'!G90,"AAAAAH+j1T4=")</f>
        <v>#VALUE!</v>
      </c>
      <c r="BL21" t="e">
        <f>AND('2015'!H90,"AAAAAH+j1T8=")</f>
        <v>#VALUE!</v>
      </c>
      <c r="BM21" t="e">
        <f>AND('2015'!I90,"AAAAAH+j1UA=")</f>
        <v>#VALUE!</v>
      </c>
      <c r="BN21" t="e">
        <f>AND('2015'!J90,"AAAAAH+j1UE=")</f>
        <v>#VALUE!</v>
      </c>
      <c r="BO21" t="e">
        <f>AND('2015'!K90,"AAAAAH+j1UI=")</f>
        <v>#VALUE!</v>
      </c>
      <c r="BP21" t="e">
        <f>AND('2015'!L90,"AAAAAH+j1UM=")</f>
        <v>#VALUE!</v>
      </c>
      <c r="BQ21" t="e">
        <f>AND('2015'!M90,"AAAAAH+j1UQ=")</f>
        <v>#VALUE!</v>
      </c>
      <c r="BR21" t="e">
        <f>AND('2015'!N90,"AAAAAH+j1UU=")</f>
        <v>#VALUE!</v>
      </c>
      <c r="BS21" t="e">
        <f>AND('2015'!O90,"AAAAAH+j1UY=")</f>
        <v>#VALUE!</v>
      </c>
      <c r="BT21" t="e">
        <f>AND('2015'!P90,"AAAAAH+j1Uc=")</f>
        <v>#VALUE!</v>
      </c>
      <c r="BU21" t="e">
        <f>AND('2015'!Q90,"AAAAAH+j1Ug=")</f>
        <v>#VALUE!</v>
      </c>
      <c r="BV21" t="e">
        <f>AND('2015'!R90,"AAAAAH+j1Uk=")</f>
        <v>#VALUE!</v>
      </c>
      <c r="BW21" t="e">
        <f>AND('2015'!S90,"AAAAAH+j1Uo=")</f>
        <v>#VALUE!</v>
      </c>
      <c r="BX21" t="e">
        <f>AND('2015'!T90,"AAAAAH+j1Us=")</f>
        <v>#VALUE!</v>
      </c>
      <c r="BY21" t="e">
        <f>AND('2015'!U90,"AAAAAH+j1Uw=")</f>
        <v>#VALUE!</v>
      </c>
      <c r="BZ21" t="e">
        <f>AND('2015'!V90,"AAAAAH+j1U0=")</f>
        <v>#VALUE!</v>
      </c>
      <c r="CA21" t="e">
        <f>AND('2015'!W90,"AAAAAH+j1U4=")</f>
        <v>#VALUE!</v>
      </c>
      <c r="CB21" t="e">
        <f>AND('2015'!X90,"AAAAAH+j1U8=")</f>
        <v>#VALUE!</v>
      </c>
      <c r="CC21" t="e">
        <f>AND('2015'!Y90,"AAAAAH+j1VA=")</f>
        <v>#VALUE!</v>
      </c>
      <c r="CD21" t="e">
        <f>AND('2015'!Z90,"AAAAAH+j1VE=")</f>
        <v>#VALUE!</v>
      </c>
      <c r="CE21" t="e">
        <f>AND('2015'!AA90,"AAAAAH+j1VI=")</f>
        <v>#VALUE!</v>
      </c>
      <c r="CF21" t="e">
        <f>AND('2015'!AB90,"AAAAAH+j1VM=")</f>
        <v>#VALUE!</v>
      </c>
      <c r="CG21" t="e">
        <f>AND('2015'!AC90,"AAAAAH+j1VQ=")</f>
        <v>#VALUE!</v>
      </c>
      <c r="CH21" t="e">
        <f>AND('2015'!AD90,"AAAAAH+j1VU=")</f>
        <v>#VALUE!</v>
      </c>
      <c r="CI21" t="e">
        <f>AND('2015'!AE90,"AAAAAH+j1VY=")</f>
        <v>#VALUE!</v>
      </c>
      <c r="CJ21" t="e">
        <f>AND('2015'!AF90,"AAAAAH+j1Vc=")</f>
        <v>#VALUE!</v>
      </c>
      <c r="CK21" t="e">
        <f>AND('2015'!AG90,"AAAAAH+j1Vg=")</f>
        <v>#VALUE!</v>
      </c>
      <c r="CL21" t="e">
        <f>AND('2015'!AH90,"AAAAAH+j1Vk=")</f>
        <v>#VALUE!</v>
      </c>
      <c r="CM21" t="e">
        <f>AND('2015'!AI90,"AAAAAH+j1Vo=")</f>
        <v>#VALUE!</v>
      </c>
      <c r="CN21" t="e">
        <f>AND('2015'!AJ90,"AAAAAH+j1Vs=")</f>
        <v>#VALUE!</v>
      </c>
      <c r="CO21" t="e">
        <f>AND('2015'!AK90,"AAAAAH+j1Vw=")</f>
        <v>#VALUE!</v>
      </c>
      <c r="CP21" t="e">
        <f>AND('2015'!AL90,"AAAAAH+j1V0=")</f>
        <v>#VALUE!</v>
      </c>
      <c r="CQ21" t="e">
        <f>AND('2015'!AM90,"AAAAAH+j1V4=")</f>
        <v>#VALUE!</v>
      </c>
      <c r="CR21" t="e">
        <f>AND('2015'!AN90,"AAAAAH+j1V8=")</f>
        <v>#VALUE!</v>
      </c>
      <c r="CS21" t="e">
        <f>AND('2015'!AO90,"AAAAAH+j1WA=")</f>
        <v>#VALUE!</v>
      </c>
      <c r="CT21" t="e">
        <f>AND('2015'!AP90,"AAAAAH+j1WE=")</f>
        <v>#VALUE!</v>
      </c>
      <c r="CU21" t="e">
        <f>AND('2015'!AQ90,"AAAAAH+j1WI=")</f>
        <v>#VALUE!</v>
      </c>
      <c r="CV21" t="e">
        <f>AND('2015'!AR90,"AAAAAH+j1WM=")</f>
        <v>#VALUE!</v>
      </c>
      <c r="CW21" t="e">
        <f>AND('2015'!AS90,"AAAAAH+j1WQ=")</f>
        <v>#VALUE!</v>
      </c>
      <c r="CX21" t="e">
        <f>AND('2015'!AT90,"AAAAAH+j1WU=")</f>
        <v>#VALUE!</v>
      </c>
      <c r="CY21" t="e">
        <f>AND('2015'!#REF!,"AAAAAH+j1WY=")</f>
        <v>#REF!</v>
      </c>
      <c r="CZ21" t="e">
        <f>AND('2015'!AU90,"AAAAAH+j1Wc=")</f>
        <v>#VALUE!</v>
      </c>
      <c r="DA21" t="e">
        <f>AND('2015'!AV90,"AAAAAH+j1Wg=")</f>
        <v>#VALUE!</v>
      </c>
      <c r="DB21" t="e">
        <f>AND('2015'!AW90,"AAAAAH+j1Wk=")</f>
        <v>#VALUE!</v>
      </c>
      <c r="DC21" t="e">
        <f>AND('2015'!AX90,"AAAAAH+j1Wo=")</f>
        <v>#VALUE!</v>
      </c>
      <c r="DD21" t="e">
        <f>AND('2015'!AY90,"AAAAAH+j1Ws=")</f>
        <v>#VALUE!</v>
      </c>
      <c r="DE21" t="e">
        <f>AND('2015'!AZ90,"AAAAAH+j1Ww=")</f>
        <v>#VALUE!</v>
      </c>
      <c r="DF21" t="e">
        <f>AND('2015'!BA90,"AAAAAH+j1W0=")</f>
        <v>#VALUE!</v>
      </c>
      <c r="DG21" t="e">
        <f>AND('2015'!BB90,"AAAAAH+j1W4=")</f>
        <v>#VALUE!</v>
      </c>
      <c r="DH21" t="e">
        <f>AND('2015'!BC90,"AAAAAH+j1W8=")</f>
        <v>#VALUE!</v>
      </c>
      <c r="DI21" t="e">
        <f>AND('2015'!BD90,"AAAAAH+j1XA=")</f>
        <v>#VALUE!</v>
      </c>
      <c r="DJ21" t="e">
        <f>AND('2015'!BE90,"AAAAAH+j1XE=")</f>
        <v>#VALUE!</v>
      </c>
      <c r="DK21" t="e">
        <f>AND('2015'!BF90,"AAAAAH+j1XI=")</f>
        <v>#VALUE!</v>
      </c>
      <c r="DL21" t="e">
        <f>AND('2015'!BG90,"AAAAAH+j1XM=")</f>
        <v>#VALUE!</v>
      </c>
      <c r="DM21" t="e">
        <f>AND('2015'!BH90,"AAAAAH+j1XQ=")</f>
        <v>#VALUE!</v>
      </c>
      <c r="DN21" t="e">
        <f>AND('2015'!BI90,"AAAAAH+j1XU=")</f>
        <v>#VALUE!</v>
      </c>
      <c r="DO21" t="e">
        <f>AND('2015'!#REF!,"AAAAAH+j1XY=")</f>
        <v>#REF!</v>
      </c>
      <c r="DP21" t="e">
        <f>AND('2015'!BJ90,"AAAAAH+j1Xc=")</f>
        <v>#VALUE!</v>
      </c>
      <c r="DQ21" t="e">
        <f>AND('2015'!BK90,"AAAAAH+j1Xg=")</f>
        <v>#VALUE!</v>
      </c>
      <c r="DR21" t="e">
        <f>AND('2015'!BL90,"AAAAAH+j1Xk=")</f>
        <v>#VALUE!</v>
      </c>
      <c r="DS21" t="e">
        <f>AND('2015'!BM90,"AAAAAH+j1Xo=")</f>
        <v>#VALUE!</v>
      </c>
      <c r="DT21" t="e">
        <f>AND('2015'!BY90,"AAAAAH+j1Xs=")</f>
        <v>#VALUE!</v>
      </c>
      <c r="DU21">
        <f>IF('2015'!91:91,"AAAAAH+j1Xw=",0)</f>
        <v>0</v>
      </c>
      <c r="DV21" t="e">
        <f>AND('2015'!A91,"AAAAAH+j1X0=")</f>
        <v>#VALUE!</v>
      </c>
      <c r="DW21" t="e">
        <f>AND('2015'!B91,"AAAAAH+j1X4=")</f>
        <v>#VALUE!</v>
      </c>
      <c r="DX21" t="e">
        <f>AND('2015'!C91,"AAAAAH+j1X8=")</f>
        <v>#VALUE!</v>
      </c>
      <c r="DY21" t="e">
        <f>AND('2015'!D91,"AAAAAH+j1YA=")</f>
        <v>#VALUE!</v>
      </c>
      <c r="DZ21" t="e">
        <f>AND('2015'!E91,"AAAAAH+j1YE=")</f>
        <v>#VALUE!</v>
      </c>
      <c r="EA21" t="e">
        <f>AND('2015'!F91,"AAAAAH+j1YI=")</f>
        <v>#VALUE!</v>
      </c>
      <c r="EB21" t="e">
        <f>AND('2015'!G91,"AAAAAH+j1YM=")</f>
        <v>#VALUE!</v>
      </c>
      <c r="EC21" t="e">
        <f>AND('2015'!H91,"AAAAAH+j1YQ=")</f>
        <v>#VALUE!</v>
      </c>
      <c r="ED21" t="e">
        <f>AND('2015'!I91,"AAAAAH+j1YU=")</f>
        <v>#VALUE!</v>
      </c>
      <c r="EE21" t="e">
        <f>AND('2015'!J91,"AAAAAH+j1YY=")</f>
        <v>#VALUE!</v>
      </c>
      <c r="EF21" t="e">
        <f>AND('2015'!K91,"AAAAAH+j1Yc=")</f>
        <v>#VALUE!</v>
      </c>
      <c r="EG21" t="e">
        <f>AND('2015'!L91,"AAAAAH+j1Yg=")</f>
        <v>#VALUE!</v>
      </c>
      <c r="EH21" t="e">
        <f>AND('2015'!M91,"AAAAAH+j1Yk=")</f>
        <v>#VALUE!</v>
      </c>
      <c r="EI21" t="e">
        <f>AND('2015'!N91,"AAAAAH+j1Yo=")</f>
        <v>#VALUE!</v>
      </c>
      <c r="EJ21" t="e">
        <f>AND('2015'!O91,"AAAAAH+j1Ys=")</f>
        <v>#VALUE!</v>
      </c>
      <c r="EK21" t="e">
        <f>AND('2015'!P91,"AAAAAH+j1Yw=")</f>
        <v>#VALUE!</v>
      </c>
      <c r="EL21" t="e">
        <f>AND('2015'!Q91,"AAAAAH+j1Y0=")</f>
        <v>#VALUE!</v>
      </c>
      <c r="EM21" t="e">
        <f>AND('2015'!R91,"AAAAAH+j1Y4=")</f>
        <v>#VALUE!</v>
      </c>
      <c r="EN21" t="e">
        <f>AND('2015'!S91,"AAAAAH+j1Y8=")</f>
        <v>#VALUE!</v>
      </c>
      <c r="EO21" t="e">
        <f>AND('2015'!T91,"AAAAAH+j1ZA=")</f>
        <v>#VALUE!</v>
      </c>
      <c r="EP21" t="e">
        <f>AND('2015'!U91,"AAAAAH+j1ZE=")</f>
        <v>#VALUE!</v>
      </c>
      <c r="EQ21" t="e">
        <f>AND('2015'!V91,"AAAAAH+j1ZI=")</f>
        <v>#VALUE!</v>
      </c>
      <c r="ER21" t="e">
        <f>AND('2015'!W91,"AAAAAH+j1ZM=")</f>
        <v>#VALUE!</v>
      </c>
      <c r="ES21" t="e">
        <f>AND('2015'!X91,"AAAAAH+j1ZQ=")</f>
        <v>#VALUE!</v>
      </c>
      <c r="ET21" t="e">
        <f>AND('2015'!Y91,"AAAAAH+j1ZU=")</f>
        <v>#VALUE!</v>
      </c>
      <c r="EU21" t="e">
        <f>AND('2015'!Z91,"AAAAAH+j1ZY=")</f>
        <v>#VALUE!</v>
      </c>
      <c r="EV21" t="e">
        <f>AND('2015'!AA91,"AAAAAH+j1Zc=")</f>
        <v>#VALUE!</v>
      </c>
      <c r="EW21" t="e">
        <f>AND('2015'!AB91,"AAAAAH+j1Zg=")</f>
        <v>#VALUE!</v>
      </c>
      <c r="EX21" t="e">
        <f>AND('2015'!AC91,"AAAAAH+j1Zk=")</f>
        <v>#VALUE!</v>
      </c>
      <c r="EY21" t="e">
        <f>AND('2015'!AD91,"AAAAAH+j1Zo=")</f>
        <v>#VALUE!</v>
      </c>
      <c r="EZ21" t="e">
        <f>AND('2015'!AE91,"AAAAAH+j1Zs=")</f>
        <v>#VALUE!</v>
      </c>
      <c r="FA21" t="e">
        <f>AND('2015'!AF91,"AAAAAH+j1Zw=")</f>
        <v>#VALUE!</v>
      </c>
      <c r="FB21" t="e">
        <f>AND('2015'!AG91,"AAAAAH+j1Z0=")</f>
        <v>#VALUE!</v>
      </c>
      <c r="FC21" t="e">
        <f>AND('2015'!AH91,"AAAAAH+j1Z4=")</f>
        <v>#VALUE!</v>
      </c>
      <c r="FD21" t="e">
        <f>AND('2015'!AI91,"AAAAAH+j1Z8=")</f>
        <v>#VALUE!</v>
      </c>
      <c r="FE21" t="e">
        <f>AND('2015'!AJ91,"AAAAAH+j1aA=")</f>
        <v>#VALUE!</v>
      </c>
      <c r="FF21" t="e">
        <f>AND('2015'!AK91,"AAAAAH+j1aE=")</f>
        <v>#VALUE!</v>
      </c>
      <c r="FG21" t="e">
        <f>AND('2015'!AL91,"AAAAAH+j1aI=")</f>
        <v>#VALUE!</v>
      </c>
      <c r="FH21" t="e">
        <f>AND('2015'!AM91,"AAAAAH+j1aM=")</f>
        <v>#VALUE!</v>
      </c>
      <c r="FI21" t="e">
        <f>AND('2015'!AN91,"AAAAAH+j1aQ=")</f>
        <v>#VALUE!</v>
      </c>
      <c r="FJ21" t="e">
        <f>AND('2015'!AO91,"AAAAAH+j1aU=")</f>
        <v>#VALUE!</v>
      </c>
      <c r="FK21" t="e">
        <f>AND('2015'!AP91,"AAAAAH+j1aY=")</f>
        <v>#VALUE!</v>
      </c>
      <c r="FL21" t="e">
        <f>AND('2015'!AQ91,"AAAAAH+j1ac=")</f>
        <v>#VALUE!</v>
      </c>
      <c r="FM21" t="e">
        <f>AND('2015'!AR91,"AAAAAH+j1ag=")</f>
        <v>#VALUE!</v>
      </c>
      <c r="FN21" t="e">
        <f>AND('2015'!AS91,"AAAAAH+j1ak=")</f>
        <v>#VALUE!</v>
      </c>
      <c r="FO21" t="e">
        <f>AND('2015'!AT91,"AAAAAH+j1ao=")</f>
        <v>#VALUE!</v>
      </c>
      <c r="FP21" t="e">
        <f>AND('2015'!#REF!,"AAAAAH+j1as=")</f>
        <v>#REF!</v>
      </c>
      <c r="FQ21" t="e">
        <f>AND('2015'!AU91,"AAAAAH+j1aw=")</f>
        <v>#VALUE!</v>
      </c>
      <c r="FR21" t="e">
        <f>AND('2015'!AV91,"AAAAAH+j1a0=")</f>
        <v>#VALUE!</v>
      </c>
      <c r="FS21" t="e">
        <f>AND('2015'!AW91,"AAAAAH+j1a4=")</f>
        <v>#VALUE!</v>
      </c>
      <c r="FT21" t="e">
        <f>AND('2015'!AX91,"AAAAAH+j1a8=")</f>
        <v>#VALUE!</v>
      </c>
      <c r="FU21" t="e">
        <f>AND('2015'!AY91,"AAAAAH+j1bA=")</f>
        <v>#VALUE!</v>
      </c>
      <c r="FV21" t="e">
        <f>AND('2015'!AZ91,"AAAAAH+j1bE=")</f>
        <v>#VALUE!</v>
      </c>
      <c r="FW21" t="e">
        <f>AND('2015'!BA91,"AAAAAH+j1bI=")</f>
        <v>#VALUE!</v>
      </c>
      <c r="FX21" t="e">
        <f>AND('2015'!BB91,"AAAAAH+j1bM=")</f>
        <v>#VALUE!</v>
      </c>
      <c r="FY21" t="e">
        <f>AND('2015'!BC91,"AAAAAH+j1bQ=")</f>
        <v>#VALUE!</v>
      </c>
      <c r="FZ21" t="e">
        <f>AND('2015'!BD91,"AAAAAH+j1bU=")</f>
        <v>#VALUE!</v>
      </c>
      <c r="GA21" t="e">
        <f>AND('2015'!BE91,"AAAAAH+j1bY=")</f>
        <v>#VALUE!</v>
      </c>
      <c r="GB21" t="e">
        <f>AND('2015'!BF91,"AAAAAH+j1bc=")</f>
        <v>#VALUE!</v>
      </c>
      <c r="GC21" t="e">
        <f>AND('2015'!BG91,"AAAAAH+j1bg=")</f>
        <v>#VALUE!</v>
      </c>
      <c r="GD21" t="e">
        <f>AND('2015'!BH91,"AAAAAH+j1bk=")</f>
        <v>#VALUE!</v>
      </c>
      <c r="GE21" t="e">
        <f>AND('2015'!BI91,"AAAAAH+j1bo=")</f>
        <v>#VALUE!</v>
      </c>
      <c r="GF21" t="e">
        <f>AND('2015'!#REF!,"AAAAAH+j1bs=")</f>
        <v>#REF!</v>
      </c>
      <c r="GG21" t="e">
        <f>AND('2015'!BJ91,"AAAAAH+j1bw=")</f>
        <v>#VALUE!</v>
      </c>
      <c r="GH21" t="e">
        <f>AND('2015'!BK91,"AAAAAH+j1b0=")</f>
        <v>#VALUE!</v>
      </c>
      <c r="GI21" t="e">
        <f>AND('2015'!BL91,"AAAAAH+j1b4=")</f>
        <v>#VALUE!</v>
      </c>
      <c r="GJ21" t="e">
        <f>AND('2015'!BM91,"AAAAAH+j1b8=")</f>
        <v>#VALUE!</v>
      </c>
      <c r="GK21" t="e">
        <f>AND('2015'!BY91,"AAAAAH+j1cA=")</f>
        <v>#VALUE!</v>
      </c>
      <c r="GL21">
        <f>IF('2015'!92:92,"AAAAAH+j1cE=",0)</f>
        <v>0</v>
      </c>
      <c r="GM21" t="e">
        <f>AND('2015'!A92,"AAAAAH+j1cI=")</f>
        <v>#VALUE!</v>
      </c>
      <c r="GN21" t="e">
        <f>AND('2015'!B92,"AAAAAH+j1cM=")</f>
        <v>#VALUE!</v>
      </c>
      <c r="GO21" t="e">
        <f>AND('2015'!C92,"AAAAAH+j1cQ=")</f>
        <v>#VALUE!</v>
      </c>
      <c r="GP21" t="e">
        <f>AND('2015'!D92,"AAAAAH+j1cU=")</f>
        <v>#VALUE!</v>
      </c>
      <c r="GQ21" t="e">
        <f>AND('2015'!E92,"AAAAAH+j1cY=")</f>
        <v>#VALUE!</v>
      </c>
      <c r="GR21" t="e">
        <f>AND('2015'!F92,"AAAAAH+j1cc=")</f>
        <v>#VALUE!</v>
      </c>
      <c r="GS21" t="e">
        <f>AND('2015'!G92,"AAAAAH+j1cg=")</f>
        <v>#VALUE!</v>
      </c>
      <c r="GT21" t="e">
        <f>AND('2015'!H92,"AAAAAH+j1ck=")</f>
        <v>#VALUE!</v>
      </c>
      <c r="GU21" t="e">
        <f>AND('2015'!I92,"AAAAAH+j1co=")</f>
        <v>#VALUE!</v>
      </c>
      <c r="GV21" t="e">
        <f>AND('2015'!J92,"AAAAAH+j1cs=")</f>
        <v>#VALUE!</v>
      </c>
      <c r="GW21" t="e">
        <f>AND('2015'!K92,"AAAAAH+j1cw=")</f>
        <v>#VALUE!</v>
      </c>
      <c r="GX21" t="e">
        <f>AND('2015'!L92,"AAAAAH+j1c0=")</f>
        <v>#VALUE!</v>
      </c>
      <c r="GY21" t="e">
        <f>AND('2015'!M92,"AAAAAH+j1c4=")</f>
        <v>#VALUE!</v>
      </c>
      <c r="GZ21" t="e">
        <f>AND('2015'!N92,"AAAAAH+j1c8=")</f>
        <v>#VALUE!</v>
      </c>
      <c r="HA21" t="e">
        <f>AND('2015'!O92,"AAAAAH+j1dA=")</f>
        <v>#VALUE!</v>
      </c>
      <c r="HB21" t="e">
        <f>AND('2015'!P92,"AAAAAH+j1dE=")</f>
        <v>#VALUE!</v>
      </c>
      <c r="HC21" t="e">
        <f>AND('2015'!Q92,"AAAAAH+j1dI=")</f>
        <v>#VALUE!</v>
      </c>
      <c r="HD21" t="e">
        <f>AND('2015'!R92,"AAAAAH+j1dM=")</f>
        <v>#VALUE!</v>
      </c>
      <c r="HE21" t="e">
        <f>AND('2015'!S92,"AAAAAH+j1dQ=")</f>
        <v>#VALUE!</v>
      </c>
      <c r="HF21" t="e">
        <f>AND('2015'!T92,"AAAAAH+j1dU=")</f>
        <v>#VALUE!</v>
      </c>
      <c r="HG21" t="e">
        <f>AND('2015'!U92,"AAAAAH+j1dY=")</f>
        <v>#VALUE!</v>
      </c>
      <c r="HH21" t="e">
        <f>AND('2015'!V92,"AAAAAH+j1dc=")</f>
        <v>#VALUE!</v>
      </c>
      <c r="HI21" t="e">
        <f>AND('2015'!W92,"AAAAAH+j1dg=")</f>
        <v>#VALUE!</v>
      </c>
      <c r="HJ21" t="e">
        <f>AND('2015'!X92,"AAAAAH+j1dk=")</f>
        <v>#VALUE!</v>
      </c>
      <c r="HK21" t="e">
        <f>AND('2015'!Y92,"AAAAAH+j1do=")</f>
        <v>#VALUE!</v>
      </c>
      <c r="HL21" t="e">
        <f>AND('2015'!Z92,"AAAAAH+j1ds=")</f>
        <v>#VALUE!</v>
      </c>
      <c r="HM21" t="e">
        <f>AND('2015'!AA92,"AAAAAH+j1dw=")</f>
        <v>#VALUE!</v>
      </c>
      <c r="HN21" t="e">
        <f>AND('2015'!AB92,"AAAAAH+j1d0=")</f>
        <v>#VALUE!</v>
      </c>
      <c r="HO21" t="e">
        <f>AND('2015'!AC92,"AAAAAH+j1d4=")</f>
        <v>#VALUE!</v>
      </c>
      <c r="HP21" t="e">
        <f>AND('2015'!AD92,"AAAAAH+j1d8=")</f>
        <v>#VALUE!</v>
      </c>
      <c r="HQ21" t="e">
        <f>AND('2015'!AE92,"AAAAAH+j1eA=")</f>
        <v>#VALUE!</v>
      </c>
      <c r="HR21" t="e">
        <f>AND('2015'!AF92,"AAAAAH+j1eE=")</f>
        <v>#VALUE!</v>
      </c>
      <c r="HS21" t="e">
        <f>AND('2015'!AG92,"AAAAAH+j1eI=")</f>
        <v>#VALUE!</v>
      </c>
      <c r="HT21" t="e">
        <f>AND('2015'!AH92,"AAAAAH+j1eM=")</f>
        <v>#VALUE!</v>
      </c>
      <c r="HU21" t="e">
        <f>AND('2015'!AI92,"AAAAAH+j1eQ=")</f>
        <v>#VALUE!</v>
      </c>
      <c r="HV21" t="e">
        <f>AND('2015'!AJ92,"AAAAAH+j1eU=")</f>
        <v>#VALUE!</v>
      </c>
      <c r="HW21" t="e">
        <f>AND('2015'!AK92,"AAAAAH+j1eY=")</f>
        <v>#VALUE!</v>
      </c>
      <c r="HX21" t="e">
        <f>AND('2015'!AL92,"AAAAAH+j1ec=")</f>
        <v>#VALUE!</v>
      </c>
      <c r="HY21" t="e">
        <f>AND('2015'!AM92,"AAAAAH+j1eg=")</f>
        <v>#VALUE!</v>
      </c>
      <c r="HZ21" t="e">
        <f>AND('2015'!AN92,"AAAAAH+j1ek=")</f>
        <v>#VALUE!</v>
      </c>
      <c r="IA21" t="e">
        <f>AND('2015'!AO92,"AAAAAH+j1eo=")</f>
        <v>#VALUE!</v>
      </c>
      <c r="IB21" t="e">
        <f>AND('2015'!AP92,"AAAAAH+j1es=")</f>
        <v>#VALUE!</v>
      </c>
      <c r="IC21" t="e">
        <f>AND('2015'!AQ92,"AAAAAH+j1ew=")</f>
        <v>#VALUE!</v>
      </c>
      <c r="ID21" t="e">
        <f>AND('2015'!AR92,"AAAAAH+j1e0=")</f>
        <v>#VALUE!</v>
      </c>
      <c r="IE21" t="e">
        <f>AND('2015'!AS92,"AAAAAH+j1e4=")</f>
        <v>#VALUE!</v>
      </c>
      <c r="IF21" t="e">
        <f>AND('2015'!AT92,"AAAAAH+j1e8=")</f>
        <v>#VALUE!</v>
      </c>
      <c r="IG21" t="e">
        <f>AND('2015'!#REF!,"AAAAAH+j1fA=")</f>
        <v>#REF!</v>
      </c>
      <c r="IH21" t="e">
        <f>AND('2015'!AU92,"AAAAAH+j1fE=")</f>
        <v>#VALUE!</v>
      </c>
      <c r="II21" t="e">
        <f>AND('2015'!AV92,"AAAAAH+j1fI=")</f>
        <v>#VALUE!</v>
      </c>
      <c r="IJ21" t="e">
        <f>AND('2015'!AW92,"AAAAAH+j1fM=")</f>
        <v>#VALUE!</v>
      </c>
      <c r="IK21" t="e">
        <f>AND('2015'!AX92,"AAAAAH+j1fQ=")</f>
        <v>#VALUE!</v>
      </c>
      <c r="IL21" t="e">
        <f>AND('2015'!AY92,"AAAAAH+j1fU=")</f>
        <v>#VALUE!</v>
      </c>
      <c r="IM21" t="e">
        <f>AND('2015'!AZ92,"AAAAAH+j1fY=")</f>
        <v>#VALUE!</v>
      </c>
      <c r="IN21" t="e">
        <f>AND('2015'!BA92,"AAAAAH+j1fc=")</f>
        <v>#VALUE!</v>
      </c>
      <c r="IO21" t="e">
        <f>AND('2015'!BB92,"AAAAAH+j1fg=")</f>
        <v>#VALUE!</v>
      </c>
      <c r="IP21" t="e">
        <f>AND('2015'!BC92,"AAAAAH+j1fk=")</f>
        <v>#VALUE!</v>
      </c>
      <c r="IQ21" t="e">
        <f>AND('2015'!BD92,"AAAAAH+j1fo=")</f>
        <v>#VALUE!</v>
      </c>
      <c r="IR21" t="e">
        <f>AND('2015'!BE92,"AAAAAH+j1fs=")</f>
        <v>#VALUE!</v>
      </c>
      <c r="IS21" t="e">
        <f>AND('2015'!BF92,"AAAAAH+j1fw=")</f>
        <v>#VALUE!</v>
      </c>
      <c r="IT21" t="e">
        <f>AND('2015'!BG92,"AAAAAH+j1f0=")</f>
        <v>#VALUE!</v>
      </c>
      <c r="IU21" t="e">
        <f>AND('2015'!BH92,"AAAAAH+j1f4=")</f>
        <v>#VALUE!</v>
      </c>
      <c r="IV21" t="e">
        <f>AND('2015'!BI92,"AAAAAH+j1f8=")</f>
        <v>#VALUE!</v>
      </c>
    </row>
    <row r="22" spans="1:256" x14ac:dyDescent="0.25">
      <c r="A22" t="e">
        <f>AND('2015'!#REF!,"AAAAAH/cvQA=")</f>
        <v>#REF!</v>
      </c>
      <c r="B22" t="e">
        <f>AND('2015'!BJ92,"AAAAAH/cvQE=")</f>
        <v>#VALUE!</v>
      </c>
      <c r="C22" t="e">
        <f>AND('2015'!BK92,"AAAAAH/cvQI=")</f>
        <v>#VALUE!</v>
      </c>
      <c r="D22" t="e">
        <f>AND('2015'!BL92,"AAAAAH/cvQM=")</f>
        <v>#VALUE!</v>
      </c>
      <c r="E22" t="e">
        <f>AND('2015'!BM92,"AAAAAH/cvQQ=")</f>
        <v>#VALUE!</v>
      </c>
      <c r="F22" t="e">
        <f>AND('2015'!BY92,"AAAAAH/cvQU=")</f>
        <v>#VALUE!</v>
      </c>
      <c r="G22">
        <f>IF('2015'!93:93,"AAAAAH/cvQY=",0)</f>
        <v>0</v>
      </c>
      <c r="H22" t="e">
        <f>AND('2015'!A93,"AAAAAH/cvQc=")</f>
        <v>#VALUE!</v>
      </c>
      <c r="I22" t="e">
        <f>AND('2015'!B93,"AAAAAH/cvQg=")</f>
        <v>#VALUE!</v>
      </c>
      <c r="J22" t="e">
        <f>AND('2015'!C93,"AAAAAH/cvQk=")</f>
        <v>#VALUE!</v>
      </c>
      <c r="K22" t="e">
        <f>AND('2015'!D93,"AAAAAH/cvQo=")</f>
        <v>#VALUE!</v>
      </c>
      <c r="L22" t="e">
        <f>AND('2015'!E93,"AAAAAH/cvQs=")</f>
        <v>#VALUE!</v>
      </c>
      <c r="M22" t="e">
        <f>AND('2015'!F93,"AAAAAH/cvQw=")</f>
        <v>#VALUE!</v>
      </c>
      <c r="N22" t="e">
        <f>AND('2015'!G93,"AAAAAH/cvQ0=")</f>
        <v>#VALUE!</v>
      </c>
      <c r="O22" t="e">
        <f>AND('2015'!H93,"AAAAAH/cvQ4=")</f>
        <v>#VALUE!</v>
      </c>
      <c r="P22" t="e">
        <f>AND('2015'!I93,"AAAAAH/cvQ8=")</f>
        <v>#VALUE!</v>
      </c>
      <c r="Q22" t="e">
        <f>AND('2015'!J93,"AAAAAH/cvRA=")</f>
        <v>#VALUE!</v>
      </c>
      <c r="R22" t="e">
        <f>AND('2015'!K93,"AAAAAH/cvRE=")</f>
        <v>#VALUE!</v>
      </c>
      <c r="S22" t="e">
        <f>AND('2015'!L93,"AAAAAH/cvRI=")</f>
        <v>#VALUE!</v>
      </c>
      <c r="T22" t="e">
        <f>AND('2015'!M93,"AAAAAH/cvRM=")</f>
        <v>#VALUE!</v>
      </c>
      <c r="U22" t="e">
        <f>AND('2015'!N93,"AAAAAH/cvRQ=")</f>
        <v>#VALUE!</v>
      </c>
      <c r="V22" t="e">
        <f>AND('2015'!O93,"AAAAAH/cvRU=")</f>
        <v>#VALUE!</v>
      </c>
      <c r="W22" t="e">
        <f>AND('2015'!P93,"AAAAAH/cvRY=")</f>
        <v>#VALUE!</v>
      </c>
      <c r="X22" t="e">
        <f>AND('2015'!Q93,"AAAAAH/cvRc=")</f>
        <v>#VALUE!</v>
      </c>
      <c r="Y22" t="e">
        <f>AND('2015'!R93,"AAAAAH/cvRg=")</f>
        <v>#VALUE!</v>
      </c>
      <c r="Z22" t="e">
        <f>AND('2015'!S93,"AAAAAH/cvRk=")</f>
        <v>#VALUE!</v>
      </c>
      <c r="AA22" t="e">
        <f>AND('2015'!T93,"AAAAAH/cvRo=")</f>
        <v>#VALUE!</v>
      </c>
      <c r="AB22" t="e">
        <f>AND('2015'!U93,"AAAAAH/cvRs=")</f>
        <v>#VALUE!</v>
      </c>
      <c r="AC22" t="e">
        <f>AND('2015'!V93,"AAAAAH/cvRw=")</f>
        <v>#VALUE!</v>
      </c>
      <c r="AD22" t="e">
        <f>AND('2015'!W93,"AAAAAH/cvR0=")</f>
        <v>#VALUE!</v>
      </c>
      <c r="AE22" t="e">
        <f>AND('2015'!X93,"AAAAAH/cvR4=")</f>
        <v>#VALUE!</v>
      </c>
      <c r="AF22" t="e">
        <f>AND('2015'!Y93,"AAAAAH/cvR8=")</f>
        <v>#VALUE!</v>
      </c>
      <c r="AG22" t="e">
        <f>AND('2015'!Z93,"AAAAAH/cvSA=")</f>
        <v>#VALUE!</v>
      </c>
      <c r="AH22" t="e">
        <f>AND('2015'!AA93,"AAAAAH/cvSE=")</f>
        <v>#VALUE!</v>
      </c>
      <c r="AI22" t="e">
        <f>AND('2015'!AB93,"AAAAAH/cvSI=")</f>
        <v>#VALUE!</v>
      </c>
      <c r="AJ22" t="e">
        <f>AND('2015'!AC93,"AAAAAH/cvSM=")</f>
        <v>#VALUE!</v>
      </c>
      <c r="AK22" t="e">
        <f>AND('2015'!AD93,"AAAAAH/cvSQ=")</f>
        <v>#VALUE!</v>
      </c>
      <c r="AL22" t="e">
        <f>AND('2015'!AE93,"AAAAAH/cvSU=")</f>
        <v>#VALUE!</v>
      </c>
      <c r="AM22" t="e">
        <f>AND('2015'!AF93,"AAAAAH/cvSY=")</f>
        <v>#VALUE!</v>
      </c>
      <c r="AN22" t="e">
        <f>AND('2015'!AG93,"AAAAAH/cvSc=")</f>
        <v>#VALUE!</v>
      </c>
      <c r="AO22" t="e">
        <f>AND('2015'!AH93,"AAAAAH/cvSg=")</f>
        <v>#VALUE!</v>
      </c>
      <c r="AP22" t="e">
        <f>AND('2015'!AI93,"AAAAAH/cvSk=")</f>
        <v>#VALUE!</v>
      </c>
      <c r="AQ22" t="e">
        <f>AND('2015'!AJ93,"AAAAAH/cvSo=")</f>
        <v>#VALUE!</v>
      </c>
      <c r="AR22" t="e">
        <f>AND('2015'!AK93,"AAAAAH/cvSs=")</f>
        <v>#VALUE!</v>
      </c>
      <c r="AS22" t="e">
        <f>AND('2015'!AL93,"AAAAAH/cvSw=")</f>
        <v>#VALUE!</v>
      </c>
      <c r="AT22" t="e">
        <f>AND('2015'!AM93,"AAAAAH/cvS0=")</f>
        <v>#VALUE!</v>
      </c>
      <c r="AU22" t="e">
        <f>AND('2015'!AN93,"AAAAAH/cvS4=")</f>
        <v>#VALUE!</v>
      </c>
      <c r="AV22" t="e">
        <f>AND('2015'!AO93,"AAAAAH/cvS8=")</f>
        <v>#VALUE!</v>
      </c>
      <c r="AW22" t="e">
        <f>AND('2015'!AP93,"AAAAAH/cvTA=")</f>
        <v>#VALUE!</v>
      </c>
      <c r="AX22" t="e">
        <f>AND('2015'!AQ93,"AAAAAH/cvTE=")</f>
        <v>#VALUE!</v>
      </c>
      <c r="AY22" t="e">
        <f>AND('2015'!AR93,"AAAAAH/cvTI=")</f>
        <v>#VALUE!</v>
      </c>
      <c r="AZ22" t="e">
        <f>AND('2015'!AS93,"AAAAAH/cvTM=")</f>
        <v>#VALUE!</v>
      </c>
      <c r="BA22" t="e">
        <f>AND('2015'!AT93,"AAAAAH/cvTQ=")</f>
        <v>#VALUE!</v>
      </c>
      <c r="BB22" t="e">
        <f>AND('2015'!#REF!,"AAAAAH/cvTU=")</f>
        <v>#REF!</v>
      </c>
      <c r="BC22" t="e">
        <f>AND('2015'!AU93,"AAAAAH/cvTY=")</f>
        <v>#VALUE!</v>
      </c>
      <c r="BD22" t="e">
        <f>AND('2015'!AV93,"AAAAAH/cvTc=")</f>
        <v>#VALUE!</v>
      </c>
      <c r="BE22" t="e">
        <f>AND('2015'!AW93,"AAAAAH/cvTg=")</f>
        <v>#VALUE!</v>
      </c>
      <c r="BF22" t="e">
        <f>AND('2015'!AX93,"AAAAAH/cvTk=")</f>
        <v>#VALUE!</v>
      </c>
      <c r="BG22" t="e">
        <f>AND('2015'!AY93,"AAAAAH/cvTo=")</f>
        <v>#VALUE!</v>
      </c>
      <c r="BH22" t="e">
        <f>AND('2015'!AZ93,"AAAAAH/cvTs=")</f>
        <v>#VALUE!</v>
      </c>
      <c r="BI22" t="e">
        <f>AND('2015'!BA93,"AAAAAH/cvTw=")</f>
        <v>#VALUE!</v>
      </c>
      <c r="BJ22" t="e">
        <f>AND('2015'!BB93,"AAAAAH/cvT0=")</f>
        <v>#VALUE!</v>
      </c>
      <c r="BK22" t="e">
        <f>AND('2015'!BC93,"AAAAAH/cvT4=")</f>
        <v>#VALUE!</v>
      </c>
      <c r="BL22" t="e">
        <f>AND('2015'!BD93,"AAAAAH/cvT8=")</f>
        <v>#VALUE!</v>
      </c>
      <c r="BM22" t="e">
        <f>AND('2015'!BE93,"AAAAAH/cvUA=")</f>
        <v>#VALUE!</v>
      </c>
      <c r="BN22" t="e">
        <f>AND('2015'!BF93,"AAAAAH/cvUE=")</f>
        <v>#VALUE!</v>
      </c>
      <c r="BO22" t="e">
        <f>AND('2015'!BG93,"AAAAAH/cvUI=")</f>
        <v>#VALUE!</v>
      </c>
      <c r="BP22" t="e">
        <f>AND('2015'!BH93,"AAAAAH/cvUM=")</f>
        <v>#VALUE!</v>
      </c>
      <c r="BQ22" t="e">
        <f>AND('2015'!BI93,"AAAAAH/cvUQ=")</f>
        <v>#VALUE!</v>
      </c>
      <c r="BR22" t="e">
        <f>AND('2015'!#REF!,"AAAAAH/cvUU=")</f>
        <v>#REF!</v>
      </c>
      <c r="BS22" t="e">
        <f>AND('2015'!BJ93,"AAAAAH/cvUY=")</f>
        <v>#VALUE!</v>
      </c>
      <c r="BT22" t="e">
        <f>AND('2015'!BK93,"AAAAAH/cvUc=")</f>
        <v>#VALUE!</v>
      </c>
      <c r="BU22" t="e">
        <f>AND('2015'!BL93,"AAAAAH/cvUg=")</f>
        <v>#VALUE!</v>
      </c>
      <c r="BV22" t="e">
        <f>AND('2015'!BM93,"AAAAAH/cvUk=")</f>
        <v>#VALUE!</v>
      </c>
      <c r="BW22" t="e">
        <f>AND('2015'!BY93,"AAAAAH/cvUo=")</f>
        <v>#VALUE!</v>
      </c>
      <c r="BX22" t="e">
        <f>IF('2015'!#REF!,"AAAAAH/cvUs=",0)</f>
        <v>#REF!</v>
      </c>
      <c r="BY22" t="e">
        <f>AND('2015'!#REF!,"AAAAAH/cvUw=")</f>
        <v>#REF!</v>
      </c>
      <c r="BZ22" t="e">
        <f>AND('2015'!#REF!,"AAAAAH/cvU0=")</f>
        <v>#REF!</v>
      </c>
      <c r="CA22" t="e">
        <f>AND('2015'!#REF!,"AAAAAH/cvU4=")</f>
        <v>#REF!</v>
      </c>
      <c r="CB22" t="e">
        <f>AND('2015'!#REF!,"AAAAAH/cvU8=")</f>
        <v>#REF!</v>
      </c>
      <c r="CC22" t="e">
        <f>AND('2015'!#REF!,"AAAAAH/cvVA=")</f>
        <v>#REF!</v>
      </c>
      <c r="CD22" t="e">
        <f>AND('2015'!#REF!,"AAAAAH/cvVE=")</f>
        <v>#REF!</v>
      </c>
      <c r="CE22" t="e">
        <f>AND('2015'!#REF!,"AAAAAH/cvVI=")</f>
        <v>#REF!</v>
      </c>
      <c r="CF22" t="e">
        <f>AND('2015'!#REF!,"AAAAAH/cvVM=")</f>
        <v>#REF!</v>
      </c>
      <c r="CG22" t="e">
        <f>AND('2015'!#REF!,"AAAAAH/cvVQ=")</f>
        <v>#REF!</v>
      </c>
      <c r="CH22" t="e">
        <f>AND('2015'!#REF!,"AAAAAH/cvVU=")</f>
        <v>#REF!</v>
      </c>
      <c r="CI22" t="e">
        <f>AND('2015'!#REF!,"AAAAAH/cvVY=")</f>
        <v>#REF!</v>
      </c>
      <c r="CJ22" t="e">
        <f>AND('2015'!#REF!,"AAAAAH/cvVc=")</f>
        <v>#REF!</v>
      </c>
      <c r="CK22" t="e">
        <f>AND('2015'!#REF!,"AAAAAH/cvVg=")</f>
        <v>#REF!</v>
      </c>
      <c r="CL22" t="e">
        <f>AND('2015'!#REF!,"AAAAAH/cvVk=")</f>
        <v>#REF!</v>
      </c>
      <c r="CM22" t="e">
        <f>AND('2015'!#REF!,"AAAAAH/cvVo=")</f>
        <v>#REF!</v>
      </c>
      <c r="CN22" t="e">
        <f>AND('2015'!#REF!,"AAAAAH/cvVs=")</f>
        <v>#REF!</v>
      </c>
      <c r="CO22" t="e">
        <f>AND('2015'!#REF!,"AAAAAH/cvVw=")</f>
        <v>#REF!</v>
      </c>
      <c r="CP22" t="e">
        <f>AND('2015'!#REF!,"AAAAAH/cvV0=")</f>
        <v>#REF!</v>
      </c>
      <c r="CQ22" t="e">
        <f>AND('2015'!#REF!,"AAAAAH/cvV4=")</f>
        <v>#REF!</v>
      </c>
      <c r="CR22" t="e">
        <f>AND('2015'!#REF!,"AAAAAH/cvV8=")</f>
        <v>#REF!</v>
      </c>
      <c r="CS22" t="e">
        <f>AND('2015'!#REF!,"AAAAAH/cvWA=")</f>
        <v>#REF!</v>
      </c>
      <c r="CT22" t="e">
        <f>AND('2015'!#REF!,"AAAAAH/cvWE=")</f>
        <v>#REF!</v>
      </c>
      <c r="CU22" t="e">
        <f>AND('2015'!#REF!,"AAAAAH/cvWI=")</f>
        <v>#REF!</v>
      </c>
      <c r="CV22" t="e">
        <f>AND('2015'!#REF!,"AAAAAH/cvWM=")</f>
        <v>#REF!</v>
      </c>
      <c r="CW22" t="e">
        <f>AND('2015'!#REF!,"AAAAAH/cvWQ=")</f>
        <v>#REF!</v>
      </c>
      <c r="CX22" t="e">
        <f>AND('2015'!#REF!,"AAAAAH/cvWU=")</f>
        <v>#REF!</v>
      </c>
      <c r="CY22" t="e">
        <f>AND('2015'!#REF!,"AAAAAH/cvWY=")</f>
        <v>#REF!</v>
      </c>
      <c r="CZ22" t="e">
        <f>AND('2015'!#REF!,"AAAAAH/cvWc=")</f>
        <v>#REF!</v>
      </c>
      <c r="DA22" t="e">
        <f>AND('2015'!#REF!,"AAAAAH/cvWg=")</f>
        <v>#REF!</v>
      </c>
      <c r="DB22" t="e">
        <f>AND('2015'!#REF!,"AAAAAH/cvWk=")</f>
        <v>#REF!</v>
      </c>
      <c r="DC22" t="e">
        <f>AND('2015'!#REF!,"AAAAAH/cvWo=")</f>
        <v>#REF!</v>
      </c>
      <c r="DD22" t="e">
        <f>AND('2015'!#REF!,"AAAAAH/cvWs=")</f>
        <v>#REF!</v>
      </c>
      <c r="DE22" t="e">
        <f>AND('2015'!#REF!,"AAAAAH/cvWw=")</f>
        <v>#REF!</v>
      </c>
      <c r="DF22" t="e">
        <f>AND('2015'!#REF!,"AAAAAH/cvW0=")</f>
        <v>#REF!</v>
      </c>
      <c r="DG22" t="e">
        <f>AND('2015'!#REF!,"AAAAAH/cvW4=")</f>
        <v>#REF!</v>
      </c>
      <c r="DH22" t="e">
        <f>AND('2015'!#REF!,"AAAAAH/cvW8=")</f>
        <v>#REF!</v>
      </c>
      <c r="DI22" t="e">
        <f>AND('2015'!#REF!,"AAAAAH/cvXA=")</f>
        <v>#REF!</v>
      </c>
      <c r="DJ22" t="e">
        <f>AND('2015'!#REF!,"AAAAAH/cvXE=")</f>
        <v>#REF!</v>
      </c>
      <c r="DK22" t="e">
        <f>AND('2015'!#REF!,"AAAAAH/cvXI=")</f>
        <v>#REF!</v>
      </c>
      <c r="DL22" t="e">
        <f>AND('2015'!#REF!,"AAAAAH/cvXM=")</f>
        <v>#REF!</v>
      </c>
      <c r="DM22" t="e">
        <f>AND('2015'!#REF!,"AAAAAH/cvXQ=")</f>
        <v>#REF!</v>
      </c>
      <c r="DN22" t="e">
        <f>AND('2015'!#REF!,"AAAAAH/cvXU=")</f>
        <v>#REF!</v>
      </c>
      <c r="DO22" t="e">
        <f>AND('2015'!#REF!,"AAAAAH/cvXY=")</f>
        <v>#REF!</v>
      </c>
      <c r="DP22" t="e">
        <f>AND('2015'!#REF!,"AAAAAH/cvXc=")</f>
        <v>#REF!</v>
      </c>
      <c r="DQ22" t="e">
        <f>AND('2015'!#REF!,"AAAAAH/cvXg=")</f>
        <v>#REF!</v>
      </c>
      <c r="DR22" t="e">
        <f>AND('2015'!#REF!,"AAAAAH/cvXk=")</f>
        <v>#REF!</v>
      </c>
      <c r="DS22" t="e">
        <f>AND('2015'!#REF!,"AAAAAH/cvXo=")</f>
        <v>#REF!</v>
      </c>
      <c r="DT22" t="e">
        <f>AND('2015'!#REF!,"AAAAAH/cvXs=")</f>
        <v>#REF!</v>
      </c>
      <c r="DU22" t="e">
        <f>AND('2015'!#REF!,"AAAAAH/cvXw=")</f>
        <v>#REF!</v>
      </c>
      <c r="DV22" t="e">
        <f>AND('2015'!#REF!,"AAAAAH/cvX0=")</f>
        <v>#REF!</v>
      </c>
      <c r="DW22" t="e">
        <f>AND('2015'!#REF!,"AAAAAH/cvX4=")</f>
        <v>#REF!</v>
      </c>
      <c r="DX22" t="e">
        <f>AND('2015'!#REF!,"AAAAAH/cvX8=")</f>
        <v>#REF!</v>
      </c>
      <c r="DY22" t="e">
        <f>AND('2015'!#REF!,"AAAAAH/cvYA=")</f>
        <v>#REF!</v>
      </c>
      <c r="DZ22" t="e">
        <f>AND('2015'!#REF!,"AAAAAH/cvYE=")</f>
        <v>#REF!</v>
      </c>
      <c r="EA22" t="e">
        <f>AND('2015'!#REF!,"AAAAAH/cvYI=")</f>
        <v>#REF!</v>
      </c>
      <c r="EB22" t="e">
        <f>AND('2015'!#REF!,"AAAAAH/cvYM=")</f>
        <v>#REF!</v>
      </c>
      <c r="EC22" t="e">
        <f>AND('2015'!#REF!,"AAAAAH/cvYQ=")</f>
        <v>#REF!</v>
      </c>
      <c r="ED22" t="e">
        <f>AND('2015'!#REF!,"AAAAAH/cvYU=")</f>
        <v>#REF!</v>
      </c>
      <c r="EE22" t="e">
        <f>AND('2015'!#REF!,"AAAAAH/cvYY=")</f>
        <v>#REF!</v>
      </c>
      <c r="EF22" t="e">
        <f>AND('2015'!#REF!,"AAAAAH/cvYc=")</f>
        <v>#REF!</v>
      </c>
      <c r="EG22" t="e">
        <f>AND('2015'!#REF!,"AAAAAH/cvYg=")</f>
        <v>#REF!</v>
      </c>
      <c r="EH22" t="e">
        <f>AND('2015'!#REF!,"AAAAAH/cvYk=")</f>
        <v>#REF!</v>
      </c>
      <c r="EI22" t="e">
        <f>AND('2015'!#REF!,"AAAAAH/cvYo=")</f>
        <v>#REF!</v>
      </c>
      <c r="EJ22" t="e">
        <f>AND('2015'!#REF!,"AAAAAH/cvYs=")</f>
        <v>#REF!</v>
      </c>
      <c r="EK22" t="e">
        <f>AND('2015'!#REF!,"AAAAAH/cvYw=")</f>
        <v>#REF!</v>
      </c>
      <c r="EL22" t="e">
        <f>AND('2015'!#REF!,"AAAAAH/cvY0=")</f>
        <v>#REF!</v>
      </c>
      <c r="EM22" t="e">
        <f>AND('2015'!#REF!,"AAAAAH/cvY4=")</f>
        <v>#REF!</v>
      </c>
      <c r="EN22" t="e">
        <f>AND('2015'!#REF!,"AAAAAH/cvY8=")</f>
        <v>#REF!</v>
      </c>
      <c r="EO22">
        <f>IF('2015'!94:94,"AAAAAH/cvZA=",0)</f>
        <v>0</v>
      </c>
      <c r="EP22" t="e">
        <f>AND('2015'!A94,"AAAAAH/cvZE=")</f>
        <v>#VALUE!</v>
      </c>
      <c r="EQ22" t="e">
        <f>AND('2015'!B94,"AAAAAH/cvZI=")</f>
        <v>#VALUE!</v>
      </c>
      <c r="ER22" t="e">
        <f>AND('2015'!C94,"AAAAAH/cvZM=")</f>
        <v>#VALUE!</v>
      </c>
      <c r="ES22" t="e">
        <f>AND('2015'!D94,"AAAAAH/cvZQ=")</f>
        <v>#VALUE!</v>
      </c>
      <c r="ET22" t="e">
        <f>AND('2015'!E94,"AAAAAH/cvZU=")</f>
        <v>#VALUE!</v>
      </c>
      <c r="EU22" t="e">
        <f>AND('2015'!F94,"AAAAAH/cvZY=")</f>
        <v>#VALUE!</v>
      </c>
      <c r="EV22" t="e">
        <f>AND('2015'!G94,"AAAAAH/cvZc=")</f>
        <v>#VALUE!</v>
      </c>
      <c r="EW22" t="e">
        <f>AND('2015'!H94,"AAAAAH/cvZg=")</f>
        <v>#VALUE!</v>
      </c>
      <c r="EX22" t="e">
        <f>AND('2015'!I94,"AAAAAH/cvZk=")</f>
        <v>#VALUE!</v>
      </c>
      <c r="EY22" t="e">
        <f>AND('2015'!J94,"AAAAAH/cvZo=")</f>
        <v>#VALUE!</v>
      </c>
      <c r="EZ22" t="e">
        <f>AND('2015'!K94,"AAAAAH/cvZs=")</f>
        <v>#VALUE!</v>
      </c>
      <c r="FA22" t="e">
        <f>AND('2015'!L94,"AAAAAH/cvZw=")</f>
        <v>#VALUE!</v>
      </c>
      <c r="FB22" t="e">
        <f>AND('2015'!M94,"AAAAAH/cvZ0=")</f>
        <v>#VALUE!</v>
      </c>
      <c r="FC22" t="e">
        <f>AND('2015'!N94,"AAAAAH/cvZ4=")</f>
        <v>#VALUE!</v>
      </c>
      <c r="FD22" t="e">
        <f>AND('2015'!O94,"AAAAAH/cvZ8=")</f>
        <v>#VALUE!</v>
      </c>
      <c r="FE22" t="e">
        <f>AND('2015'!P94,"AAAAAH/cvaA=")</f>
        <v>#VALUE!</v>
      </c>
      <c r="FF22" t="e">
        <f>AND('2015'!Q94,"AAAAAH/cvaE=")</f>
        <v>#VALUE!</v>
      </c>
      <c r="FG22" t="e">
        <f>AND('2015'!R94,"AAAAAH/cvaI=")</f>
        <v>#VALUE!</v>
      </c>
      <c r="FH22" t="e">
        <f>AND('2015'!S94,"AAAAAH/cvaM=")</f>
        <v>#VALUE!</v>
      </c>
      <c r="FI22" t="e">
        <f>AND('2015'!T94,"AAAAAH/cvaQ=")</f>
        <v>#VALUE!</v>
      </c>
      <c r="FJ22" t="e">
        <f>AND('2015'!U94,"AAAAAH/cvaU=")</f>
        <v>#VALUE!</v>
      </c>
      <c r="FK22" t="e">
        <f>AND('2015'!V94,"AAAAAH/cvaY=")</f>
        <v>#VALUE!</v>
      </c>
      <c r="FL22" t="e">
        <f>AND('2015'!W94,"AAAAAH/cvac=")</f>
        <v>#VALUE!</v>
      </c>
      <c r="FM22" t="e">
        <f>AND('2015'!X94,"AAAAAH/cvag=")</f>
        <v>#VALUE!</v>
      </c>
      <c r="FN22" t="e">
        <f>AND('2015'!Y94,"AAAAAH/cvak=")</f>
        <v>#VALUE!</v>
      </c>
      <c r="FO22" t="e">
        <f>AND('2015'!Z94,"AAAAAH/cvao=")</f>
        <v>#VALUE!</v>
      </c>
      <c r="FP22" t="e">
        <f>AND('2015'!AA94,"AAAAAH/cvas=")</f>
        <v>#VALUE!</v>
      </c>
      <c r="FQ22" t="e">
        <f>AND('2015'!AB94,"AAAAAH/cvaw=")</f>
        <v>#VALUE!</v>
      </c>
      <c r="FR22" t="e">
        <f>AND('2015'!AC94,"AAAAAH/cva0=")</f>
        <v>#VALUE!</v>
      </c>
      <c r="FS22" t="e">
        <f>AND('2015'!AD94,"AAAAAH/cva4=")</f>
        <v>#VALUE!</v>
      </c>
      <c r="FT22" t="e">
        <f>AND('2015'!AE94,"AAAAAH/cva8=")</f>
        <v>#VALUE!</v>
      </c>
      <c r="FU22" t="e">
        <f>AND('2015'!AF94,"AAAAAH/cvbA=")</f>
        <v>#VALUE!</v>
      </c>
      <c r="FV22" t="e">
        <f>AND('2015'!AG94,"AAAAAH/cvbE=")</f>
        <v>#VALUE!</v>
      </c>
      <c r="FW22" t="e">
        <f>AND('2015'!AH94,"AAAAAH/cvbI=")</f>
        <v>#VALUE!</v>
      </c>
      <c r="FX22" t="e">
        <f>AND('2015'!AI94,"AAAAAH/cvbM=")</f>
        <v>#VALUE!</v>
      </c>
      <c r="FY22" t="e">
        <f>AND('2015'!AJ94,"AAAAAH/cvbQ=")</f>
        <v>#VALUE!</v>
      </c>
      <c r="FZ22" t="e">
        <f>AND('2015'!AK94,"AAAAAH/cvbU=")</f>
        <v>#VALUE!</v>
      </c>
      <c r="GA22" t="e">
        <f>AND('2015'!AL94,"AAAAAH/cvbY=")</f>
        <v>#VALUE!</v>
      </c>
      <c r="GB22" t="e">
        <f>AND('2015'!AM94,"AAAAAH/cvbc=")</f>
        <v>#VALUE!</v>
      </c>
      <c r="GC22" t="e">
        <f>AND('2015'!AN94,"AAAAAH/cvbg=")</f>
        <v>#VALUE!</v>
      </c>
      <c r="GD22" t="e">
        <f>AND('2015'!AO94,"AAAAAH/cvbk=")</f>
        <v>#VALUE!</v>
      </c>
      <c r="GE22" t="e">
        <f>AND('2015'!AP94,"AAAAAH/cvbo=")</f>
        <v>#VALUE!</v>
      </c>
      <c r="GF22" t="e">
        <f>AND('2015'!AQ94,"AAAAAH/cvbs=")</f>
        <v>#VALUE!</v>
      </c>
      <c r="GG22" t="e">
        <f>AND('2015'!AR94,"AAAAAH/cvbw=")</f>
        <v>#VALUE!</v>
      </c>
      <c r="GH22" t="e">
        <f>AND('2015'!AS94,"AAAAAH/cvb0=")</f>
        <v>#VALUE!</v>
      </c>
      <c r="GI22" t="e">
        <f>AND('2015'!AT94,"AAAAAH/cvb4=")</f>
        <v>#VALUE!</v>
      </c>
      <c r="GJ22" t="e">
        <f>AND('2015'!#REF!,"AAAAAH/cvb8=")</f>
        <v>#REF!</v>
      </c>
      <c r="GK22" t="e">
        <f>AND('2015'!AU94,"AAAAAH/cvcA=")</f>
        <v>#VALUE!</v>
      </c>
      <c r="GL22" t="e">
        <f>AND('2015'!AV94,"AAAAAH/cvcE=")</f>
        <v>#VALUE!</v>
      </c>
      <c r="GM22" t="e">
        <f>AND('2015'!AW94,"AAAAAH/cvcI=")</f>
        <v>#VALUE!</v>
      </c>
      <c r="GN22" t="e">
        <f>AND('2015'!AX94,"AAAAAH/cvcM=")</f>
        <v>#VALUE!</v>
      </c>
      <c r="GO22" t="e">
        <f>AND('2015'!AY94,"AAAAAH/cvcQ=")</f>
        <v>#VALUE!</v>
      </c>
      <c r="GP22" t="e">
        <f>AND('2015'!AZ94,"AAAAAH/cvcU=")</f>
        <v>#VALUE!</v>
      </c>
      <c r="GQ22" t="e">
        <f>AND('2015'!BA94,"AAAAAH/cvcY=")</f>
        <v>#VALUE!</v>
      </c>
      <c r="GR22" t="e">
        <f>AND('2015'!BB94,"AAAAAH/cvcc=")</f>
        <v>#VALUE!</v>
      </c>
      <c r="GS22" t="e">
        <f>AND('2015'!BC94,"AAAAAH/cvcg=")</f>
        <v>#VALUE!</v>
      </c>
      <c r="GT22" t="e">
        <f>AND('2015'!BD94,"AAAAAH/cvck=")</f>
        <v>#VALUE!</v>
      </c>
      <c r="GU22" t="e">
        <f>AND('2015'!BE94,"AAAAAH/cvco=")</f>
        <v>#VALUE!</v>
      </c>
      <c r="GV22" t="e">
        <f>AND('2015'!BF94,"AAAAAH/cvcs=")</f>
        <v>#VALUE!</v>
      </c>
      <c r="GW22" t="e">
        <f>AND('2015'!BG94,"AAAAAH/cvcw=")</f>
        <v>#VALUE!</v>
      </c>
      <c r="GX22" t="e">
        <f>AND('2015'!BH94,"AAAAAH/cvc0=")</f>
        <v>#VALUE!</v>
      </c>
      <c r="GY22" t="e">
        <f>AND('2015'!BI94,"AAAAAH/cvc4=")</f>
        <v>#VALUE!</v>
      </c>
      <c r="GZ22" t="e">
        <f>AND('2015'!#REF!,"AAAAAH/cvc8=")</f>
        <v>#REF!</v>
      </c>
      <c r="HA22" t="e">
        <f>AND('2015'!BJ94,"AAAAAH/cvdA=")</f>
        <v>#VALUE!</v>
      </c>
      <c r="HB22" t="e">
        <f>AND('2015'!BK94,"AAAAAH/cvdE=")</f>
        <v>#VALUE!</v>
      </c>
      <c r="HC22" t="e">
        <f>AND('2015'!BL94,"AAAAAH/cvdI=")</f>
        <v>#VALUE!</v>
      </c>
      <c r="HD22" t="e">
        <f>AND('2015'!BM94,"AAAAAH/cvdM=")</f>
        <v>#VALUE!</v>
      </c>
      <c r="HE22" t="e">
        <f>AND('2015'!BY94,"AAAAAH/cvdQ=")</f>
        <v>#VALUE!</v>
      </c>
      <c r="HF22">
        <f>IF('2015'!95:95,"AAAAAH/cvdU=",0)</f>
        <v>0</v>
      </c>
      <c r="HG22" t="e">
        <f>AND('2015'!A95,"AAAAAH/cvdY=")</f>
        <v>#VALUE!</v>
      </c>
      <c r="HH22" t="e">
        <f>AND('2015'!B95,"AAAAAH/cvdc=")</f>
        <v>#VALUE!</v>
      </c>
      <c r="HI22" t="e">
        <f>AND('2015'!C95,"AAAAAH/cvdg=")</f>
        <v>#VALUE!</v>
      </c>
      <c r="HJ22" t="e">
        <f>AND('2015'!D95,"AAAAAH/cvdk=")</f>
        <v>#VALUE!</v>
      </c>
      <c r="HK22" t="e">
        <f>AND('2015'!E95,"AAAAAH/cvdo=")</f>
        <v>#VALUE!</v>
      </c>
      <c r="HL22" t="e">
        <f>AND('2015'!F95,"AAAAAH/cvds=")</f>
        <v>#VALUE!</v>
      </c>
      <c r="HM22" t="e">
        <f>AND('2015'!G95,"AAAAAH/cvdw=")</f>
        <v>#VALUE!</v>
      </c>
      <c r="HN22" t="e">
        <f>AND('2015'!H95,"AAAAAH/cvd0=")</f>
        <v>#VALUE!</v>
      </c>
      <c r="HO22" t="e">
        <f>AND('2015'!I95,"AAAAAH/cvd4=")</f>
        <v>#VALUE!</v>
      </c>
      <c r="HP22" t="e">
        <f>AND('2015'!J95,"AAAAAH/cvd8=")</f>
        <v>#VALUE!</v>
      </c>
      <c r="HQ22" t="e">
        <f>AND('2015'!K95,"AAAAAH/cveA=")</f>
        <v>#VALUE!</v>
      </c>
      <c r="HR22" t="e">
        <f>AND('2015'!L95,"AAAAAH/cveE=")</f>
        <v>#VALUE!</v>
      </c>
      <c r="HS22" t="e">
        <f>AND('2015'!M95,"AAAAAH/cveI=")</f>
        <v>#VALUE!</v>
      </c>
      <c r="HT22" t="e">
        <f>AND('2015'!N95,"AAAAAH/cveM=")</f>
        <v>#VALUE!</v>
      </c>
      <c r="HU22" t="e">
        <f>AND('2015'!O95,"AAAAAH/cveQ=")</f>
        <v>#VALUE!</v>
      </c>
      <c r="HV22" t="e">
        <f>AND('2015'!P95,"AAAAAH/cveU=")</f>
        <v>#VALUE!</v>
      </c>
      <c r="HW22" t="e">
        <f>AND('2015'!Q95,"AAAAAH/cveY=")</f>
        <v>#VALUE!</v>
      </c>
      <c r="HX22" t="e">
        <f>AND('2015'!R95,"AAAAAH/cvec=")</f>
        <v>#VALUE!</v>
      </c>
      <c r="HY22" t="e">
        <f>AND('2015'!S95,"AAAAAH/cveg=")</f>
        <v>#VALUE!</v>
      </c>
      <c r="HZ22" t="e">
        <f>AND('2015'!T95,"AAAAAH/cvek=")</f>
        <v>#VALUE!</v>
      </c>
      <c r="IA22" t="e">
        <f>AND('2015'!U95,"AAAAAH/cveo=")</f>
        <v>#VALUE!</v>
      </c>
      <c r="IB22" t="e">
        <f>AND('2015'!V95,"AAAAAH/cves=")</f>
        <v>#VALUE!</v>
      </c>
      <c r="IC22" t="e">
        <f>AND('2015'!W95,"AAAAAH/cvew=")</f>
        <v>#VALUE!</v>
      </c>
      <c r="ID22" t="e">
        <f>AND('2015'!X95,"AAAAAH/cve0=")</f>
        <v>#VALUE!</v>
      </c>
      <c r="IE22" t="e">
        <f>AND('2015'!Y95,"AAAAAH/cve4=")</f>
        <v>#VALUE!</v>
      </c>
      <c r="IF22" t="e">
        <f>AND('2015'!Z95,"AAAAAH/cve8=")</f>
        <v>#VALUE!</v>
      </c>
      <c r="IG22" t="e">
        <f>AND('2015'!AA95,"AAAAAH/cvfA=")</f>
        <v>#VALUE!</v>
      </c>
      <c r="IH22" t="e">
        <f>AND('2015'!AB95,"AAAAAH/cvfE=")</f>
        <v>#VALUE!</v>
      </c>
      <c r="II22" t="e">
        <f>AND('2015'!AC95,"AAAAAH/cvfI=")</f>
        <v>#VALUE!</v>
      </c>
      <c r="IJ22" t="e">
        <f>AND('2015'!AD95,"AAAAAH/cvfM=")</f>
        <v>#VALUE!</v>
      </c>
      <c r="IK22" t="e">
        <f>AND('2015'!AE95,"AAAAAH/cvfQ=")</f>
        <v>#VALUE!</v>
      </c>
      <c r="IL22" t="e">
        <f>AND('2015'!AF95,"AAAAAH/cvfU=")</f>
        <v>#VALUE!</v>
      </c>
      <c r="IM22" t="e">
        <f>AND('2015'!AG95,"AAAAAH/cvfY=")</f>
        <v>#VALUE!</v>
      </c>
      <c r="IN22" t="e">
        <f>AND('2015'!AH95,"AAAAAH/cvfc=")</f>
        <v>#VALUE!</v>
      </c>
      <c r="IO22" t="e">
        <f>AND('2015'!AI95,"AAAAAH/cvfg=")</f>
        <v>#VALUE!</v>
      </c>
      <c r="IP22" t="e">
        <f>AND('2015'!AJ95,"AAAAAH/cvfk=")</f>
        <v>#VALUE!</v>
      </c>
      <c r="IQ22" t="e">
        <f>AND('2015'!AK95,"AAAAAH/cvfo=")</f>
        <v>#VALUE!</v>
      </c>
      <c r="IR22" t="e">
        <f>AND('2015'!AL95,"AAAAAH/cvfs=")</f>
        <v>#VALUE!</v>
      </c>
      <c r="IS22" t="e">
        <f>AND('2015'!AM95,"AAAAAH/cvfw=")</f>
        <v>#VALUE!</v>
      </c>
      <c r="IT22" t="e">
        <f>AND('2015'!AN95,"AAAAAH/cvf0=")</f>
        <v>#VALUE!</v>
      </c>
      <c r="IU22" t="e">
        <f>AND('2015'!AO95,"AAAAAH/cvf4=")</f>
        <v>#VALUE!</v>
      </c>
      <c r="IV22" t="e">
        <f>AND('2015'!AP95,"AAAAAH/cvf8=")</f>
        <v>#VALUE!</v>
      </c>
    </row>
    <row r="23" spans="1:256" x14ac:dyDescent="0.25">
      <c r="A23" t="e">
        <f>AND('2015'!AQ95,"AAAAADXX3wA=")</f>
        <v>#VALUE!</v>
      </c>
      <c r="B23" t="e">
        <f>AND('2015'!AR95,"AAAAADXX3wE=")</f>
        <v>#VALUE!</v>
      </c>
      <c r="C23" t="e">
        <f>AND('2015'!AS95,"AAAAADXX3wI=")</f>
        <v>#VALUE!</v>
      </c>
      <c r="D23" t="e">
        <f>AND('2015'!AT95,"AAAAADXX3wM=")</f>
        <v>#VALUE!</v>
      </c>
      <c r="E23" t="e">
        <f>AND('2015'!#REF!,"AAAAADXX3wQ=")</f>
        <v>#REF!</v>
      </c>
      <c r="F23" t="e">
        <f>AND('2015'!AU95,"AAAAADXX3wU=")</f>
        <v>#VALUE!</v>
      </c>
      <c r="G23" t="e">
        <f>AND('2015'!AV95,"AAAAADXX3wY=")</f>
        <v>#VALUE!</v>
      </c>
      <c r="H23" t="e">
        <f>AND('2015'!AW95,"AAAAADXX3wc=")</f>
        <v>#VALUE!</v>
      </c>
      <c r="I23" t="e">
        <f>AND('2015'!AX95,"AAAAADXX3wg=")</f>
        <v>#VALUE!</v>
      </c>
      <c r="J23" t="e">
        <f>AND('2015'!AY95,"AAAAADXX3wk=")</f>
        <v>#VALUE!</v>
      </c>
      <c r="K23" t="e">
        <f>AND('2015'!AZ95,"AAAAADXX3wo=")</f>
        <v>#VALUE!</v>
      </c>
      <c r="L23" t="e">
        <f>AND('2015'!BA95,"AAAAADXX3ws=")</f>
        <v>#VALUE!</v>
      </c>
      <c r="M23" t="e">
        <f>AND('2015'!BB95,"AAAAADXX3ww=")</f>
        <v>#VALUE!</v>
      </c>
      <c r="N23" t="e">
        <f>AND('2015'!BC95,"AAAAADXX3w0=")</f>
        <v>#VALUE!</v>
      </c>
      <c r="O23" t="e">
        <f>AND('2015'!BD95,"AAAAADXX3w4=")</f>
        <v>#VALUE!</v>
      </c>
      <c r="P23" t="e">
        <f>AND('2015'!BE95,"AAAAADXX3w8=")</f>
        <v>#VALUE!</v>
      </c>
      <c r="Q23" t="e">
        <f>AND('2015'!BF95,"AAAAADXX3xA=")</f>
        <v>#VALUE!</v>
      </c>
      <c r="R23" t="e">
        <f>AND('2015'!BG95,"AAAAADXX3xE=")</f>
        <v>#VALUE!</v>
      </c>
      <c r="S23" t="e">
        <f>AND('2015'!BH95,"AAAAADXX3xI=")</f>
        <v>#VALUE!</v>
      </c>
      <c r="T23" t="e">
        <f>AND('2015'!BI95,"AAAAADXX3xM=")</f>
        <v>#VALUE!</v>
      </c>
      <c r="U23" t="e">
        <f>AND('2015'!#REF!,"AAAAADXX3xQ=")</f>
        <v>#REF!</v>
      </c>
      <c r="V23" t="e">
        <f>AND('2015'!BJ95,"AAAAADXX3xU=")</f>
        <v>#VALUE!</v>
      </c>
      <c r="W23" t="e">
        <f>AND('2015'!BK95,"AAAAADXX3xY=")</f>
        <v>#VALUE!</v>
      </c>
      <c r="X23" t="e">
        <f>AND('2015'!BL95,"AAAAADXX3xc=")</f>
        <v>#VALUE!</v>
      </c>
      <c r="Y23" t="e">
        <f>AND('2015'!BM95,"AAAAADXX3xg=")</f>
        <v>#VALUE!</v>
      </c>
      <c r="Z23" t="e">
        <f>AND('2015'!BY95,"AAAAADXX3xk=")</f>
        <v>#VALUE!</v>
      </c>
      <c r="AA23" t="str">
        <f>IF('2015'!96:96,"AAAAADXX3xo=",0)</f>
        <v>AAAAADXX3xo=</v>
      </c>
      <c r="AB23" t="e">
        <f>AND('2015'!A96,"AAAAADXX3xs=")</f>
        <v>#VALUE!</v>
      </c>
      <c r="AC23" t="e">
        <f>AND('2015'!B96,"AAAAADXX3xw=")</f>
        <v>#VALUE!</v>
      </c>
      <c r="AD23" t="e">
        <f>AND('2015'!C96,"AAAAADXX3x0=")</f>
        <v>#VALUE!</v>
      </c>
      <c r="AE23" t="e">
        <f>AND('2015'!D96,"AAAAADXX3x4=")</f>
        <v>#VALUE!</v>
      </c>
      <c r="AF23" t="e">
        <f>AND('2015'!E96,"AAAAADXX3x8=")</f>
        <v>#VALUE!</v>
      </c>
      <c r="AG23" t="e">
        <f>AND('2015'!F96,"AAAAADXX3yA=")</f>
        <v>#VALUE!</v>
      </c>
      <c r="AH23" t="e">
        <f>AND('2015'!G96,"AAAAADXX3yE=")</f>
        <v>#VALUE!</v>
      </c>
      <c r="AI23" t="e">
        <f>AND('2015'!H96,"AAAAADXX3yI=")</f>
        <v>#VALUE!</v>
      </c>
      <c r="AJ23" t="e">
        <f>AND('2015'!I96,"AAAAADXX3yM=")</f>
        <v>#VALUE!</v>
      </c>
      <c r="AK23" t="e">
        <f>AND('2015'!J96,"AAAAADXX3yQ=")</f>
        <v>#VALUE!</v>
      </c>
      <c r="AL23" t="e">
        <f>AND('2015'!K96,"AAAAADXX3yU=")</f>
        <v>#VALUE!</v>
      </c>
      <c r="AM23" t="e">
        <f>AND('2015'!L96,"AAAAADXX3yY=")</f>
        <v>#VALUE!</v>
      </c>
      <c r="AN23" t="e">
        <f>AND('2015'!M96,"AAAAADXX3yc=")</f>
        <v>#VALUE!</v>
      </c>
      <c r="AO23" t="e">
        <f>AND('2015'!N96,"AAAAADXX3yg=")</f>
        <v>#VALUE!</v>
      </c>
      <c r="AP23" t="e">
        <f>AND('2015'!O96,"AAAAADXX3yk=")</f>
        <v>#VALUE!</v>
      </c>
      <c r="AQ23" t="e">
        <f>AND('2015'!P96,"AAAAADXX3yo=")</f>
        <v>#VALUE!</v>
      </c>
      <c r="AR23" t="e">
        <f>AND('2015'!Q96,"AAAAADXX3ys=")</f>
        <v>#VALUE!</v>
      </c>
      <c r="AS23" t="e">
        <f>AND('2015'!R96,"AAAAADXX3yw=")</f>
        <v>#VALUE!</v>
      </c>
      <c r="AT23" t="e">
        <f>AND('2015'!S96,"AAAAADXX3y0=")</f>
        <v>#VALUE!</v>
      </c>
      <c r="AU23" t="e">
        <f>AND('2015'!T96,"AAAAADXX3y4=")</f>
        <v>#VALUE!</v>
      </c>
      <c r="AV23" t="e">
        <f>AND('2015'!U96,"AAAAADXX3y8=")</f>
        <v>#VALUE!</v>
      </c>
      <c r="AW23" t="e">
        <f>AND('2015'!V96,"AAAAADXX3zA=")</f>
        <v>#VALUE!</v>
      </c>
      <c r="AX23" t="e">
        <f>AND('2015'!W96,"AAAAADXX3zE=")</f>
        <v>#VALUE!</v>
      </c>
      <c r="AY23" t="e">
        <f>AND('2015'!X96,"AAAAADXX3zI=")</f>
        <v>#VALUE!</v>
      </c>
      <c r="AZ23" t="e">
        <f>AND('2015'!Y96,"AAAAADXX3zM=")</f>
        <v>#VALUE!</v>
      </c>
      <c r="BA23" t="e">
        <f>AND('2015'!Z96,"AAAAADXX3zQ=")</f>
        <v>#VALUE!</v>
      </c>
      <c r="BB23" t="e">
        <f>AND('2015'!AA96,"AAAAADXX3zU=")</f>
        <v>#VALUE!</v>
      </c>
      <c r="BC23" t="e">
        <f>AND('2015'!AB96,"AAAAADXX3zY=")</f>
        <v>#VALUE!</v>
      </c>
      <c r="BD23" t="e">
        <f>AND('2015'!AC96,"AAAAADXX3zc=")</f>
        <v>#VALUE!</v>
      </c>
      <c r="BE23" t="e">
        <f>AND('2015'!AD96,"AAAAADXX3zg=")</f>
        <v>#VALUE!</v>
      </c>
      <c r="BF23" t="e">
        <f>AND('2015'!AE96,"AAAAADXX3zk=")</f>
        <v>#VALUE!</v>
      </c>
      <c r="BG23" t="e">
        <f>AND('2015'!AF96,"AAAAADXX3zo=")</f>
        <v>#VALUE!</v>
      </c>
      <c r="BH23" t="e">
        <f>AND('2015'!AG96,"AAAAADXX3zs=")</f>
        <v>#VALUE!</v>
      </c>
      <c r="BI23" t="e">
        <f>AND('2015'!AH96,"AAAAADXX3zw=")</f>
        <v>#VALUE!</v>
      </c>
      <c r="BJ23" t="e">
        <f>AND('2015'!AI96,"AAAAADXX3z0=")</f>
        <v>#VALUE!</v>
      </c>
      <c r="BK23" t="e">
        <f>AND('2015'!AJ96,"AAAAADXX3z4=")</f>
        <v>#VALUE!</v>
      </c>
      <c r="BL23" t="e">
        <f>AND('2015'!AK96,"AAAAADXX3z8=")</f>
        <v>#VALUE!</v>
      </c>
      <c r="BM23" t="e">
        <f>AND('2015'!AL96,"AAAAADXX30A=")</f>
        <v>#VALUE!</v>
      </c>
      <c r="BN23" t="e">
        <f>AND('2015'!AM96,"AAAAADXX30E=")</f>
        <v>#VALUE!</v>
      </c>
      <c r="BO23" t="e">
        <f>AND('2015'!AN96,"AAAAADXX30I=")</f>
        <v>#VALUE!</v>
      </c>
      <c r="BP23" t="e">
        <f>AND('2015'!AO96,"AAAAADXX30M=")</f>
        <v>#VALUE!</v>
      </c>
      <c r="BQ23" t="e">
        <f>AND('2015'!AP96,"AAAAADXX30Q=")</f>
        <v>#VALUE!</v>
      </c>
      <c r="BR23" t="e">
        <f>AND('2015'!AQ96,"AAAAADXX30U=")</f>
        <v>#VALUE!</v>
      </c>
      <c r="BS23" t="e">
        <f>AND('2015'!AR96,"AAAAADXX30Y=")</f>
        <v>#VALUE!</v>
      </c>
      <c r="BT23" t="e">
        <f>AND('2015'!AS96,"AAAAADXX30c=")</f>
        <v>#VALUE!</v>
      </c>
      <c r="BU23" t="e">
        <f>AND('2015'!AT96,"AAAAADXX30g=")</f>
        <v>#VALUE!</v>
      </c>
      <c r="BV23" t="e">
        <f>AND('2015'!#REF!,"AAAAADXX30k=")</f>
        <v>#REF!</v>
      </c>
      <c r="BW23" t="e">
        <f>AND('2015'!AU96,"AAAAADXX30o=")</f>
        <v>#VALUE!</v>
      </c>
      <c r="BX23" t="e">
        <f>AND('2015'!AV96,"AAAAADXX30s=")</f>
        <v>#VALUE!</v>
      </c>
      <c r="BY23" t="e">
        <f>AND('2015'!AW96,"AAAAADXX30w=")</f>
        <v>#VALUE!</v>
      </c>
      <c r="BZ23" t="e">
        <f>AND('2015'!AX96,"AAAAADXX300=")</f>
        <v>#VALUE!</v>
      </c>
      <c r="CA23" t="e">
        <f>AND('2015'!AY96,"AAAAADXX304=")</f>
        <v>#VALUE!</v>
      </c>
      <c r="CB23" t="e">
        <f>AND('2015'!AZ96,"AAAAADXX308=")</f>
        <v>#VALUE!</v>
      </c>
      <c r="CC23" t="e">
        <f>AND('2015'!BA96,"AAAAADXX31A=")</f>
        <v>#VALUE!</v>
      </c>
      <c r="CD23" t="e">
        <f>AND('2015'!BB96,"AAAAADXX31E=")</f>
        <v>#VALUE!</v>
      </c>
      <c r="CE23" t="e">
        <f>AND('2015'!BC96,"AAAAADXX31I=")</f>
        <v>#VALUE!</v>
      </c>
      <c r="CF23" t="e">
        <f>AND('2015'!BD96,"AAAAADXX31M=")</f>
        <v>#VALUE!</v>
      </c>
      <c r="CG23" t="e">
        <f>AND('2015'!BE96,"AAAAADXX31Q=")</f>
        <v>#VALUE!</v>
      </c>
      <c r="CH23" t="e">
        <f>AND('2015'!BF96,"AAAAADXX31U=")</f>
        <v>#VALUE!</v>
      </c>
      <c r="CI23" t="e">
        <f>AND('2015'!BG96,"AAAAADXX31Y=")</f>
        <v>#VALUE!</v>
      </c>
      <c r="CJ23" t="e">
        <f>AND('2015'!BH96,"AAAAADXX31c=")</f>
        <v>#VALUE!</v>
      </c>
      <c r="CK23" t="e">
        <f>AND('2015'!BI96,"AAAAADXX31g=")</f>
        <v>#VALUE!</v>
      </c>
      <c r="CL23" t="e">
        <f>AND('2015'!#REF!,"AAAAADXX31k=")</f>
        <v>#REF!</v>
      </c>
      <c r="CM23" t="e">
        <f>AND('2015'!BJ96,"AAAAADXX31o=")</f>
        <v>#VALUE!</v>
      </c>
      <c r="CN23" t="e">
        <f>AND('2015'!BK96,"AAAAADXX31s=")</f>
        <v>#VALUE!</v>
      </c>
      <c r="CO23" t="e">
        <f>AND('2015'!BL96,"AAAAADXX31w=")</f>
        <v>#VALUE!</v>
      </c>
      <c r="CP23" t="e">
        <f>AND('2015'!BM96,"AAAAADXX310=")</f>
        <v>#VALUE!</v>
      </c>
      <c r="CQ23" t="e">
        <f>AND('2015'!BY96,"AAAAADXX314=")</f>
        <v>#VALUE!</v>
      </c>
      <c r="CR23">
        <f>IF('2015'!97:97,"AAAAADXX318=",0)</f>
        <v>0</v>
      </c>
      <c r="CS23" t="e">
        <f>AND('2015'!A97,"AAAAADXX32A=")</f>
        <v>#VALUE!</v>
      </c>
      <c r="CT23" t="e">
        <f>AND('2015'!B97,"AAAAADXX32E=")</f>
        <v>#VALUE!</v>
      </c>
      <c r="CU23" t="e">
        <f>AND('2015'!C97,"AAAAADXX32I=")</f>
        <v>#VALUE!</v>
      </c>
      <c r="CV23" t="e">
        <f>AND('2015'!D97,"AAAAADXX32M=")</f>
        <v>#VALUE!</v>
      </c>
      <c r="CW23" t="e">
        <f>AND('2015'!E97,"AAAAADXX32Q=")</f>
        <v>#VALUE!</v>
      </c>
      <c r="CX23" t="e">
        <f>AND('2015'!F97,"AAAAADXX32U=")</f>
        <v>#VALUE!</v>
      </c>
      <c r="CY23" t="e">
        <f>AND('2015'!G97,"AAAAADXX32Y=")</f>
        <v>#VALUE!</v>
      </c>
      <c r="CZ23" t="e">
        <f>AND('2015'!H97,"AAAAADXX32c=")</f>
        <v>#VALUE!</v>
      </c>
      <c r="DA23" t="e">
        <f>AND('2015'!I97,"AAAAADXX32g=")</f>
        <v>#VALUE!</v>
      </c>
      <c r="DB23" t="e">
        <f>AND('2015'!J97,"AAAAADXX32k=")</f>
        <v>#VALUE!</v>
      </c>
      <c r="DC23" t="e">
        <f>AND('2015'!K97,"AAAAADXX32o=")</f>
        <v>#VALUE!</v>
      </c>
      <c r="DD23" t="e">
        <f>AND('2015'!L97,"AAAAADXX32s=")</f>
        <v>#VALUE!</v>
      </c>
      <c r="DE23" t="e">
        <f>AND('2015'!M97,"AAAAADXX32w=")</f>
        <v>#VALUE!</v>
      </c>
      <c r="DF23" t="e">
        <f>AND('2015'!N97,"AAAAADXX320=")</f>
        <v>#VALUE!</v>
      </c>
      <c r="DG23" t="e">
        <f>AND('2015'!O97,"AAAAADXX324=")</f>
        <v>#VALUE!</v>
      </c>
      <c r="DH23" t="e">
        <f>AND('2015'!P97,"AAAAADXX328=")</f>
        <v>#VALUE!</v>
      </c>
      <c r="DI23" t="e">
        <f>AND('2015'!Q97,"AAAAADXX33A=")</f>
        <v>#VALUE!</v>
      </c>
      <c r="DJ23" t="e">
        <f>AND('2015'!R97,"AAAAADXX33E=")</f>
        <v>#VALUE!</v>
      </c>
      <c r="DK23" t="e">
        <f>AND('2015'!S97,"AAAAADXX33I=")</f>
        <v>#VALUE!</v>
      </c>
      <c r="DL23" t="e">
        <f>AND('2015'!T97,"AAAAADXX33M=")</f>
        <v>#VALUE!</v>
      </c>
      <c r="DM23" t="e">
        <f>AND('2015'!U97,"AAAAADXX33Q=")</f>
        <v>#VALUE!</v>
      </c>
      <c r="DN23" t="e">
        <f>AND('2015'!V97,"AAAAADXX33U=")</f>
        <v>#VALUE!</v>
      </c>
      <c r="DO23" t="e">
        <f>AND('2015'!W97,"AAAAADXX33Y=")</f>
        <v>#VALUE!</v>
      </c>
      <c r="DP23" t="e">
        <f>AND('2015'!X97,"AAAAADXX33c=")</f>
        <v>#VALUE!</v>
      </c>
      <c r="DQ23" t="e">
        <f>AND('2015'!Y97,"AAAAADXX33g=")</f>
        <v>#VALUE!</v>
      </c>
      <c r="DR23" t="e">
        <f>AND('2015'!Z97,"AAAAADXX33k=")</f>
        <v>#VALUE!</v>
      </c>
      <c r="DS23" t="e">
        <f>AND('2015'!AA97,"AAAAADXX33o=")</f>
        <v>#VALUE!</v>
      </c>
      <c r="DT23" t="e">
        <f>AND('2015'!AB97,"AAAAADXX33s=")</f>
        <v>#VALUE!</v>
      </c>
      <c r="DU23" t="e">
        <f>AND('2015'!AC97,"AAAAADXX33w=")</f>
        <v>#VALUE!</v>
      </c>
      <c r="DV23" t="e">
        <f>AND('2015'!AD97,"AAAAADXX330=")</f>
        <v>#VALUE!</v>
      </c>
      <c r="DW23" t="e">
        <f>AND('2015'!AE97,"AAAAADXX334=")</f>
        <v>#VALUE!</v>
      </c>
      <c r="DX23" t="e">
        <f>AND('2015'!AF97,"AAAAADXX338=")</f>
        <v>#VALUE!</v>
      </c>
      <c r="DY23" t="e">
        <f>AND('2015'!AG97,"AAAAADXX34A=")</f>
        <v>#VALUE!</v>
      </c>
      <c r="DZ23" t="e">
        <f>AND('2015'!AH97,"AAAAADXX34E=")</f>
        <v>#VALUE!</v>
      </c>
      <c r="EA23" t="e">
        <f>AND('2015'!AI97,"AAAAADXX34I=")</f>
        <v>#VALUE!</v>
      </c>
      <c r="EB23" t="e">
        <f>AND('2015'!AJ97,"AAAAADXX34M=")</f>
        <v>#VALUE!</v>
      </c>
      <c r="EC23" t="e">
        <f>AND('2015'!AK97,"AAAAADXX34Q=")</f>
        <v>#VALUE!</v>
      </c>
      <c r="ED23" t="e">
        <f>AND('2015'!AL97,"AAAAADXX34U=")</f>
        <v>#VALUE!</v>
      </c>
      <c r="EE23" t="e">
        <f>AND('2015'!AM97,"AAAAADXX34Y=")</f>
        <v>#VALUE!</v>
      </c>
      <c r="EF23" t="e">
        <f>AND('2015'!AN97,"AAAAADXX34c=")</f>
        <v>#VALUE!</v>
      </c>
      <c r="EG23" t="e">
        <f>AND('2015'!AO97,"AAAAADXX34g=")</f>
        <v>#VALUE!</v>
      </c>
      <c r="EH23" t="e">
        <f>AND('2015'!AP97,"AAAAADXX34k=")</f>
        <v>#VALUE!</v>
      </c>
      <c r="EI23" t="e">
        <f>AND('2015'!AQ97,"AAAAADXX34o=")</f>
        <v>#VALUE!</v>
      </c>
      <c r="EJ23" t="e">
        <f>AND('2015'!AR97,"AAAAADXX34s=")</f>
        <v>#VALUE!</v>
      </c>
      <c r="EK23" t="e">
        <f>AND('2015'!AS97,"AAAAADXX34w=")</f>
        <v>#VALUE!</v>
      </c>
      <c r="EL23" t="e">
        <f>AND('2015'!AT97,"AAAAADXX340=")</f>
        <v>#VALUE!</v>
      </c>
      <c r="EM23" t="e">
        <f>AND('2015'!#REF!,"AAAAADXX344=")</f>
        <v>#REF!</v>
      </c>
      <c r="EN23" t="e">
        <f>AND('2015'!AU97,"AAAAADXX348=")</f>
        <v>#VALUE!</v>
      </c>
      <c r="EO23" t="e">
        <f>AND('2015'!AV97,"AAAAADXX35A=")</f>
        <v>#VALUE!</v>
      </c>
      <c r="EP23" t="e">
        <f>AND('2015'!AW97,"AAAAADXX35E=")</f>
        <v>#VALUE!</v>
      </c>
      <c r="EQ23" t="e">
        <f>AND('2015'!AX97,"AAAAADXX35I=")</f>
        <v>#VALUE!</v>
      </c>
      <c r="ER23" t="e">
        <f>AND('2015'!AY97,"AAAAADXX35M=")</f>
        <v>#VALUE!</v>
      </c>
      <c r="ES23" t="e">
        <f>AND('2015'!AZ97,"AAAAADXX35Q=")</f>
        <v>#VALUE!</v>
      </c>
      <c r="ET23" t="e">
        <f>AND('2015'!BA97,"AAAAADXX35U=")</f>
        <v>#VALUE!</v>
      </c>
      <c r="EU23" t="e">
        <f>AND('2015'!BB97,"AAAAADXX35Y=")</f>
        <v>#VALUE!</v>
      </c>
      <c r="EV23" t="e">
        <f>AND('2015'!BC97,"AAAAADXX35c=")</f>
        <v>#VALUE!</v>
      </c>
      <c r="EW23" t="e">
        <f>AND('2015'!BD97,"AAAAADXX35g=")</f>
        <v>#VALUE!</v>
      </c>
      <c r="EX23" t="e">
        <f>AND('2015'!BE97,"AAAAADXX35k=")</f>
        <v>#VALUE!</v>
      </c>
      <c r="EY23" t="e">
        <f>AND('2015'!BF97,"AAAAADXX35o=")</f>
        <v>#VALUE!</v>
      </c>
      <c r="EZ23" t="e">
        <f>AND('2015'!BG97,"AAAAADXX35s=")</f>
        <v>#VALUE!</v>
      </c>
      <c r="FA23" t="e">
        <f>AND('2015'!BH97,"AAAAADXX35w=")</f>
        <v>#VALUE!</v>
      </c>
      <c r="FB23" t="e">
        <f>AND('2015'!BI97,"AAAAADXX350=")</f>
        <v>#VALUE!</v>
      </c>
      <c r="FC23" t="e">
        <f>AND('2015'!#REF!,"AAAAADXX354=")</f>
        <v>#REF!</v>
      </c>
      <c r="FD23" t="e">
        <f>AND('2015'!BJ97,"AAAAADXX358=")</f>
        <v>#VALUE!</v>
      </c>
      <c r="FE23" t="e">
        <f>AND('2015'!BK97,"AAAAADXX36A=")</f>
        <v>#VALUE!</v>
      </c>
      <c r="FF23" t="e">
        <f>AND('2015'!BL97,"AAAAADXX36E=")</f>
        <v>#VALUE!</v>
      </c>
      <c r="FG23" t="e">
        <f>AND('2015'!BM97,"AAAAADXX36I=")</f>
        <v>#VALUE!</v>
      </c>
      <c r="FH23" t="e">
        <f>AND('2015'!BY97,"AAAAADXX36M=")</f>
        <v>#VALUE!</v>
      </c>
      <c r="FI23">
        <f>IF('2015'!98:98,"AAAAADXX36Q=",0)</f>
        <v>0</v>
      </c>
      <c r="FJ23" t="e">
        <f>AND('2015'!A98,"AAAAADXX36U=")</f>
        <v>#VALUE!</v>
      </c>
      <c r="FK23" t="e">
        <f>AND('2015'!B98,"AAAAADXX36Y=")</f>
        <v>#VALUE!</v>
      </c>
      <c r="FL23" t="e">
        <f>AND('2015'!C98,"AAAAADXX36c=")</f>
        <v>#VALUE!</v>
      </c>
      <c r="FM23" t="e">
        <f>AND('2015'!D98,"AAAAADXX36g=")</f>
        <v>#VALUE!</v>
      </c>
      <c r="FN23" t="e">
        <f>AND('2015'!E98,"AAAAADXX36k=")</f>
        <v>#VALUE!</v>
      </c>
      <c r="FO23" t="e">
        <f>AND('2015'!F98,"AAAAADXX36o=")</f>
        <v>#VALUE!</v>
      </c>
      <c r="FP23" t="e">
        <f>AND('2015'!G98,"AAAAADXX36s=")</f>
        <v>#VALUE!</v>
      </c>
      <c r="FQ23" t="e">
        <f>AND('2015'!H98,"AAAAADXX36w=")</f>
        <v>#VALUE!</v>
      </c>
      <c r="FR23" t="e">
        <f>AND('2015'!I98,"AAAAADXX360=")</f>
        <v>#VALUE!</v>
      </c>
      <c r="FS23" t="e">
        <f>AND('2015'!J98,"AAAAADXX364=")</f>
        <v>#VALUE!</v>
      </c>
      <c r="FT23" t="e">
        <f>AND('2015'!K98,"AAAAADXX368=")</f>
        <v>#VALUE!</v>
      </c>
      <c r="FU23" t="e">
        <f>AND('2015'!L98,"AAAAADXX37A=")</f>
        <v>#VALUE!</v>
      </c>
      <c r="FV23" t="e">
        <f>AND('2015'!M98,"AAAAADXX37E=")</f>
        <v>#VALUE!</v>
      </c>
      <c r="FW23" t="e">
        <f>AND('2015'!N98,"AAAAADXX37I=")</f>
        <v>#VALUE!</v>
      </c>
      <c r="FX23" t="e">
        <f>AND('2015'!O98,"AAAAADXX37M=")</f>
        <v>#VALUE!</v>
      </c>
      <c r="FY23" t="e">
        <f>AND('2015'!P98,"AAAAADXX37Q=")</f>
        <v>#VALUE!</v>
      </c>
      <c r="FZ23" t="e">
        <f>AND('2015'!Q98,"AAAAADXX37U=")</f>
        <v>#VALUE!</v>
      </c>
      <c r="GA23" t="e">
        <f>AND('2015'!R98,"AAAAADXX37Y=")</f>
        <v>#VALUE!</v>
      </c>
      <c r="GB23" t="e">
        <f>AND('2015'!S98,"AAAAADXX37c=")</f>
        <v>#VALUE!</v>
      </c>
      <c r="GC23" t="e">
        <f>AND('2015'!T98,"AAAAADXX37g=")</f>
        <v>#VALUE!</v>
      </c>
      <c r="GD23" t="e">
        <f>AND('2015'!U98,"AAAAADXX37k=")</f>
        <v>#VALUE!</v>
      </c>
      <c r="GE23" t="e">
        <f>AND('2015'!V98,"AAAAADXX37o=")</f>
        <v>#VALUE!</v>
      </c>
      <c r="GF23" t="e">
        <f>AND('2015'!W98,"AAAAADXX37s=")</f>
        <v>#VALUE!</v>
      </c>
      <c r="GG23" t="e">
        <f>AND('2015'!X98,"AAAAADXX37w=")</f>
        <v>#VALUE!</v>
      </c>
      <c r="GH23" t="e">
        <f>AND('2015'!Y98,"AAAAADXX370=")</f>
        <v>#VALUE!</v>
      </c>
      <c r="GI23" t="e">
        <f>AND('2015'!Z98,"AAAAADXX374=")</f>
        <v>#VALUE!</v>
      </c>
      <c r="GJ23" t="e">
        <f>AND('2015'!AA98,"AAAAADXX378=")</f>
        <v>#VALUE!</v>
      </c>
      <c r="GK23" t="e">
        <f>AND('2015'!AB98,"AAAAADXX38A=")</f>
        <v>#VALUE!</v>
      </c>
      <c r="GL23" t="e">
        <f>AND('2015'!AC98,"AAAAADXX38E=")</f>
        <v>#VALUE!</v>
      </c>
      <c r="GM23" t="e">
        <f>AND('2015'!AD98,"AAAAADXX38I=")</f>
        <v>#VALUE!</v>
      </c>
      <c r="GN23" t="e">
        <f>AND('2015'!AE98,"AAAAADXX38M=")</f>
        <v>#VALUE!</v>
      </c>
      <c r="GO23" t="e">
        <f>AND('2015'!AF98,"AAAAADXX38Q=")</f>
        <v>#VALUE!</v>
      </c>
      <c r="GP23" t="e">
        <f>AND('2015'!AG98,"AAAAADXX38U=")</f>
        <v>#VALUE!</v>
      </c>
      <c r="GQ23" t="e">
        <f>AND('2015'!AH98,"AAAAADXX38Y=")</f>
        <v>#VALUE!</v>
      </c>
      <c r="GR23" t="e">
        <f>AND('2015'!AI98,"AAAAADXX38c=")</f>
        <v>#VALUE!</v>
      </c>
      <c r="GS23" t="e">
        <f>AND('2015'!AJ98,"AAAAADXX38g=")</f>
        <v>#VALUE!</v>
      </c>
      <c r="GT23" t="e">
        <f>AND('2015'!AK98,"AAAAADXX38k=")</f>
        <v>#VALUE!</v>
      </c>
      <c r="GU23" t="e">
        <f>AND('2015'!AL98,"AAAAADXX38o=")</f>
        <v>#VALUE!</v>
      </c>
      <c r="GV23" t="e">
        <f>AND('2015'!AM98,"AAAAADXX38s=")</f>
        <v>#VALUE!</v>
      </c>
      <c r="GW23" t="e">
        <f>AND('2015'!AN98,"AAAAADXX38w=")</f>
        <v>#VALUE!</v>
      </c>
      <c r="GX23" t="e">
        <f>AND('2015'!AO98,"AAAAADXX380=")</f>
        <v>#VALUE!</v>
      </c>
      <c r="GY23" t="e">
        <f>AND('2015'!AP98,"AAAAADXX384=")</f>
        <v>#VALUE!</v>
      </c>
      <c r="GZ23" t="e">
        <f>AND('2015'!AQ98,"AAAAADXX388=")</f>
        <v>#VALUE!</v>
      </c>
      <c r="HA23" t="e">
        <f>AND('2015'!AR98,"AAAAADXX39A=")</f>
        <v>#VALUE!</v>
      </c>
      <c r="HB23" t="e">
        <f>AND('2015'!AS98,"AAAAADXX39E=")</f>
        <v>#VALUE!</v>
      </c>
      <c r="HC23" t="e">
        <f>AND('2015'!AT98,"AAAAADXX39I=")</f>
        <v>#VALUE!</v>
      </c>
      <c r="HD23" t="e">
        <f>AND('2015'!#REF!,"AAAAADXX39M=")</f>
        <v>#REF!</v>
      </c>
      <c r="HE23" t="e">
        <f>AND('2015'!AU98,"AAAAADXX39Q=")</f>
        <v>#VALUE!</v>
      </c>
      <c r="HF23" t="e">
        <f>AND('2015'!AV98,"AAAAADXX39U=")</f>
        <v>#VALUE!</v>
      </c>
      <c r="HG23" t="e">
        <f>AND('2015'!AW98,"AAAAADXX39Y=")</f>
        <v>#VALUE!</v>
      </c>
      <c r="HH23" t="e">
        <f>AND('2015'!AX98,"AAAAADXX39c=")</f>
        <v>#VALUE!</v>
      </c>
      <c r="HI23" t="e">
        <f>AND('2015'!AY98,"AAAAADXX39g=")</f>
        <v>#VALUE!</v>
      </c>
      <c r="HJ23" t="e">
        <f>AND('2015'!AZ98,"AAAAADXX39k=")</f>
        <v>#VALUE!</v>
      </c>
      <c r="HK23" t="e">
        <f>AND('2015'!BA98,"AAAAADXX39o=")</f>
        <v>#VALUE!</v>
      </c>
      <c r="HL23" t="e">
        <f>AND('2015'!BB98,"AAAAADXX39s=")</f>
        <v>#VALUE!</v>
      </c>
      <c r="HM23" t="e">
        <f>AND('2015'!BC98,"AAAAADXX39w=")</f>
        <v>#VALUE!</v>
      </c>
      <c r="HN23" t="e">
        <f>AND('2015'!BD98,"AAAAADXX390=")</f>
        <v>#VALUE!</v>
      </c>
      <c r="HO23" t="e">
        <f>AND('2015'!BE98,"AAAAADXX394=")</f>
        <v>#VALUE!</v>
      </c>
      <c r="HP23" t="e">
        <f>AND('2015'!BF98,"AAAAADXX398=")</f>
        <v>#VALUE!</v>
      </c>
      <c r="HQ23" t="e">
        <f>AND('2015'!BG98,"AAAAADXX3+A=")</f>
        <v>#VALUE!</v>
      </c>
      <c r="HR23" t="e">
        <f>AND('2015'!BH98,"AAAAADXX3+E=")</f>
        <v>#VALUE!</v>
      </c>
      <c r="HS23" t="e">
        <f>AND('2015'!BI98,"AAAAADXX3+I=")</f>
        <v>#VALUE!</v>
      </c>
      <c r="HT23" t="e">
        <f>AND('2015'!#REF!,"AAAAADXX3+M=")</f>
        <v>#REF!</v>
      </c>
      <c r="HU23" t="e">
        <f>AND('2015'!BJ98,"AAAAADXX3+Q=")</f>
        <v>#VALUE!</v>
      </c>
      <c r="HV23" t="e">
        <f>AND('2015'!BK98,"AAAAADXX3+U=")</f>
        <v>#VALUE!</v>
      </c>
      <c r="HW23" t="e">
        <f>AND('2015'!BL98,"AAAAADXX3+Y=")</f>
        <v>#VALUE!</v>
      </c>
      <c r="HX23" t="e">
        <f>AND('2015'!BM98,"AAAAADXX3+c=")</f>
        <v>#VALUE!</v>
      </c>
      <c r="HY23" t="e">
        <f>AND('2015'!BY98,"AAAAADXX3+g=")</f>
        <v>#VALUE!</v>
      </c>
      <c r="HZ23">
        <f>IF('2015'!99:99,"AAAAADXX3+k=",0)</f>
        <v>0</v>
      </c>
      <c r="IA23" t="e">
        <f>AND('2015'!A99,"AAAAADXX3+o=")</f>
        <v>#VALUE!</v>
      </c>
      <c r="IB23" t="e">
        <f>AND('2015'!B99,"AAAAADXX3+s=")</f>
        <v>#VALUE!</v>
      </c>
      <c r="IC23" t="e">
        <f>AND('2015'!C99,"AAAAADXX3+w=")</f>
        <v>#VALUE!</v>
      </c>
      <c r="ID23" t="e">
        <f>AND('2015'!D99,"AAAAADXX3+0=")</f>
        <v>#VALUE!</v>
      </c>
      <c r="IE23" t="e">
        <f>AND('2015'!E99,"AAAAADXX3+4=")</f>
        <v>#VALUE!</v>
      </c>
      <c r="IF23" t="e">
        <f>AND('2015'!F99,"AAAAADXX3+8=")</f>
        <v>#VALUE!</v>
      </c>
      <c r="IG23" t="e">
        <f>AND('2015'!G99,"AAAAADXX3/A=")</f>
        <v>#VALUE!</v>
      </c>
      <c r="IH23" t="e">
        <f>AND('2015'!H99,"AAAAADXX3/E=")</f>
        <v>#VALUE!</v>
      </c>
      <c r="II23" t="e">
        <f>AND('2015'!I99,"AAAAADXX3/I=")</f>
        <v>#VALUE!</v>
      </c>
      <c r="IJ23" t="e">
        <f>AND('2015'!J99,"AAAAADXX3/M=")</f>
        <v>#VALUE!</v>
      </c>
      <c r="IK23" t="e">
        <f>AND('2015'!K99,"AAAAADXX3/Q=")</f>
        <v>#VALUE!</v>
      </c>
      <c r="IL23" t="e">
        <f>AND('2015'!L99,"AAAAADXX3/U=")</f>
        <v>#VALUE!</v>
      </c>
      <c r="IM23" t="e">
        <f>AND('2015'!M99,"AAAAADXX3/Y=")</f>
        <v>#VALUE!</v>
      </c>
      <c r="IN23" t="e">
        <f>AND('2015'!N99,"AAAAADXX3/c=")</f>
        <v>#VALUE!</v>
      </c>
      <c r="IO23" t="e">
        <f>AND('2015'!O99,"AAAAADXX3/g=")</f>
        <v>#VALUE!</v>
      </c>
      <c r="IP23" t="e">
        <f>AND('2015'!P99,"AAAAADXX3/k=")</f>
        <v>#VALUE!</v>
      </c>
      <c r="IQ23" t="e">
        <f>AND('2015'!Q99,"AAAAADXX3/o=")</f>
        <v>#VALUE!</v>
      </c>
      <c r="IR23" t="e">
        <f>AND('2015'!R99,"AAAAADXX3/s=")</f>
        <v>#VALUE!</v>
      </c>
      <c r="IS23" t="e">
        <f>AND('2015'!S99,"AAAAADXX3/w=")</f>
        <v>#VALUE!</v>
      </c>
      <c r="IT23" t="e">
        <f>AND('2015'!T99,"AAAAADXX3/0=")</f>
        <v>#VALUE!</v>
      </c>
      <c r="IU23" t="e">
        <f>AND('2015'!U99,"AAAAADXX3/4=")</f>
        <v>#VALUE!</v>
      </c>
      <c r="IV23" t="e">
        <f>AND('2015'!V99,"AAAAADXX3/8=")</f>
        <v>#VALUE!</v>
      </c>
    </row>
    <row r="24" spans="1:256" x14ac:dyDescent="0.25">
      <c r="A24" t="e">
        <f>AND('2015'!W99,"AAAAAHPvvwA=")</f>
        <v>#VALUE!</v>
      </c>
      <c r="B24" t="e">
        <f>AND('2015'!X99,"AAAAAHPvvwE=")</f>
        <v>#VALUE!</v>
      </c>
      <c r="C24" t="e">
        <f>AND('2015'!Y99,"AAAAAHPvvwI=")</f>
        <v>#VALUE!</v>
      </c>
      <c r="D24" t="e">
        <f>AND('2015'!Z99,"AAAAAHPvvwM=")</f>
        <v>#VALUE!</v>
      </c>
      <c r="E24" t="e">
        <f>AND('2015'!AA99,"AAAAAHPvvwQ=")</f>
        <v>#VALUE!</v>
      </c>
      <c r="F24" t="e">
        <f>AND('2015'!AB99,"AAAAAHPvvwU=")</f>
        <v>#VALUE!</v>
      </c>
      <c r="G24" t="e">
        <f>AND('2015'!AC99,"AAAAAHPvvwY=")</f>
        <v>#VALUE!</v>
      </c>
      <c r="H24" t="e">
        <f>AND('2015'!AD99,"AAAAAHPvvwc=")</f>
        <v>#VALUE!</v>
      </c>
      <c r="I24" t="e">
        <f>AND('2015'!AE99,"AAAAAHPvvwg=")</f>
        <v>#VALUE!</v>
      </c>
      <c r="J24" t="e">
        <f>AND('2015'!AF99,"AAAAAHPvvwk=")</f>
        <v>#VALUE!</v>
      </c>
      <c r="K24" t="e">
        <f>AND('2015'!AG99,"AAAAAHPvvwo=")</f>
        <v>#VALUE!</v>
      </c>
      <c r="L24" t="e">
        <f>AND('2015'!AH99,"AAAAAHPvvws=")</f>
        <v>#VALUE!</v>
      </c>
      <c r="M24" t="e">
        <f>AND('2015'!AI99,"AAAAAHPvvww=")</f>
        <v>#VALUE!</v>
      </c>
      <c r="N24" t="e">
        <f>AND('2015'!AJ99,"AAAAAHPvvw0=")</f>
        <v>#VALUE!</v>
      </c>
      <c r="O24" t="e">
        <f>AND('2015'!AK99,"AAAAAHPvvw4=")</f>
        <v>#VALUE!</v>
      </c>
      <c r="P24" t="e">
        <f>AND('2015'!AL99,"AAAAAHPvvw8=")</f>
        <v>#VALUE!</v>
      </c>
      <c r="Q24" t="e">
        <f>AND('2015'!AM99,"AAAAAHPvvxA=")</f>
        <v>#VALUE!</v>
      </c>
      <c r="R24" t="e">
        <f>AND('2015'!AN99,"AAAAAHPvvxE=")</f>
        <v>#VALUE!</v>
      </c>
      <c r="S24" t="e">
        <f>AND('2015'!AO99,"AAAAAHPvvxI=")</f>
        <v>#VALUE!</v>
      </c>
      <c r="T24" t="e">
        <f>AND('2015'!AP99,"AAAAAHPvvxM=")</f>
        <v>#VALUE!</v>
      </c>
      <c r="U24" t="e">
        <f>AND('2015'!AQ99,"AAAAAHPvvxQ=")</f>
        <v>#VALUE!</v>
      </c>
      <c r="V24" t="e">
        <f>AND('2015'!AR99,"AAAAAHPvvxU=")</f>
        <v>#VALUE!</v>
      </c>
      <c r="W24" t="e">
        <f>AND('2015'!AS99,"AAAAAHPvvxY=")</f>
        <v>#VALUE!</v>
      </c>
      <c r="X24" t="e">
        <f>AND('2015'!AT99,"AAAAAHPvvxc=")</f>
        <v>#VALUE!</v>
      </c>
      <c r="Y24" t="e">
        <f>AND('2015'!#REF!,"AAAAAHPvvxg=")</f>
        <v>#REF!</v>
      </c>
      <c r="Z24" t="e">
        <f>AND('2015'!AU99,"AAAAAHPvvxk=")</f>
        <v>#VALUE!</v>
      </c>
      <c r="AA24" t="e">
        <f>AND('2015'!AV99,"AAAAAHPvvxo=")</f>
        <v>#VALUE!</v>
      </c>
      <c r="AB24" t="e">
        <f>AND('2015'!AW99,"AAAAAHPvvxs=")</f>
        <v>#VALUE!</v>
      </c>
      <c r="AC24" t="e">
        <f>AND('2015'!AX99,"AAAAAHPvvxw=")</f>
        <v>#VALUE!</v>
      </c>
      <c r="AD24" t="e">
        <f>AND('2015'!AY99,"AAAAAHPvvx0=")</f>
        <v>#VALUE!</v>
      </c>
      <c r="AE24" t="e">
        <f>AND('2015'!AZ99,"AAAAAHPvvx4=")</f>
        <v>#VALUE!</v>
      </c>
      <c r="AF24" t="e">
        <f>AND('2015'!BA99,"AAAAAHPvvx8=")</f>
        <v>#VALUE!</v>
      </c>
      <c r="AG24" t="e">
        <f>AND('2015'!BB99,"AAAAAHPvvyA=")</f>
        <v>#VALUE!</v>
      </c>
      <c r="AH24" t="e">
        <f>AND('2015'!BC99,"AAAAAHPvvyE=")</f>
        <v>#VALUE!</v>
      </c>
      <c r="AI24" t="e">
        <f>AND('2015'!BD99,"AAAAAHPvvyI=")</f>
        <v>#VALUE!</v>
      </c>
      <c r="AJ24" t="e">
        <f>AND('2015'!BE99,"AAAAAHPvvyM=")</f>
        <v>#VALUE!</v>
      </c>
      <c r="AK24" t="e">
        <f>AND('2015'!BF99,"AAAAAHPvvyQ=")</f>
        <v>#VALUE!</v>
      </c>
      <c r="AL24" t="e">
        <f>AND('2015'!BG99,"AAAAAHPvvyU=")</f>
        <v>#VALUE!</v>
      </c>
      <c r="AM24" t="e">
        <f>AND('2015'!BH99,"AAAAAHPvvyY=")</f>
        <v>#VALUE!</v>
      </c>
      <c r="AN24" t="e">
        <f>AND('2015'!BI99,"AAAAAHPvvyc=")</f>
        <v>#VALUE!</v>
      </c>
      <c r="AO24" t="e">
        <f>AND('2015'!#REF!,"AAAAAHPvvyg=")</f>
        <v>#REF!</v>
      </c>
      <c r="AP24" t="e">
        <f>AND('2015'!BJ99,"AAAAAHPvvyk=")</f>
        <v>#VALUE!</v>
      </c>
      <c r="AQ24" t="e">
        <f>AND('2015'!BK99,"AAAAAHPvvyo=")</f>
        <v>#VALUE!</v>
      </c>
      <c r="AR24" t="e">
        <f>AND('2015'!BL99,"AAAAAHPvvys=")</f>
        <v>#VALUE!</v>
      </c>
      <c r="AS24" t="e">
        <f>AND('2015'!BM99,"AAAAAHPvvyw=")</f>
        <v>#VALUE!</v>
      </c>
      <c r="AT24" t="e">
        <f>AND('2015'!BY99,"AAAAAHPvvy0=")</f>
        <v>#VALUE!</v>
      </c>
      <c r="AU24">
        <f>IF('2015'!100:100,"AAAAAHPvvy4=",0)</f>
        <v>0</v>
      </c>
      <c r="AV24" t="e">
        <f>AND('2015'!A100,"AAAAAHPvvy8=")</f>
        <v>#VALUE!</v>
      </c>
      <c r="AW24" t="e">
        <f>AND('2015'!B100,"AAAAAHPvvzA=")</f>
        <v>#VALUE!</v>
      </c>
      <c r="AX24" t="e">
        <f>AND('2015'!C100,"AAAAAHPvvzE=")</f>
        <v>#VALUE!</v>
      </c>
      <c r="AY24" t="e">
        <f>AND('2015'!D100,"AAAAAHPvvzI=")</f>
        <v>#VALUE!</v>
      </c>
      <c r="AZ24" t="e">
        <f>AND('2015'!E100,"AAAAAHPvvzM=")</f>
        <v>#VALUE!</v>
      </c>
      <c r="BA24" t="e">
        <f>AND('2015'!F100,"AAAAAHPvvzQ=")</f>
        <v>#VALUE!</v>
      </c>
      <c r="BB24" t="e">
        <f>AND('2015'!G100,"AAAAAHPvvzU=")</f>
        <v>#VALUE!</v>
      </c>
      <c r="BC24" t="e">
        <f>AND('2015'!H100,"AAAAAHPvvzY=")</f>
        <v>#VALUE!</v>
      </c>
      <c r="BD24" t="e">
        <f>AND('2015'!I100,"AAAAAHPvvzc=")</f>
        <v>#VALUE!</v>
      </c>
      <c r="BE24" t="e">
        <f>AND('2015'!J100,"AAAAAHPvvzg=")</f>
        <v>#VALUE!</v>
      </c>
      <c r="BF24" t="e">
        <f>AND('2015'!K100,"AAAAAHPvvzk=")</f>
        <v>#VALUE!</v>
      </c>
      <c r="BG24" t="e">
        <f>AND('2015'!L100,"AAAAAHPvvzo=")</f>
        <v>#VALUE!</v>
      </c>
      <c r="BH24" t="e">
        <f>AND('2015'!M100,"AAAAAHPvvzs=")</f>
        <v>#VALUE!</v>
      </c>
      <c r="BI24" t="e">
        <f>AND('2015'!N100,"AAAAAHPvvzw=")</f>
        <v>#VALUE!</v>
      </c>
      <c r="BJ24" t="e">
        <f>AND('2015'!O100,"AAAAAHPvvz0=")</f>
        <v>#VALUE!</v>
      </c>
      <c r="BK24" t="e">
        <f>AND('2015'!P100,"AAAAAHPvvz4=")</f>
        <v>#VALUE!</v>
      </c>
      <c r="BL24" t="e">
        <f>AND('2015'!Q100,"AAAAAHPvvz8=")</f>
        <v>#VALUE!</v>
      </c>
      <c r="BM24" t="e">
        <f>AND('2015'!R100,"AAAAAHPvv0A=")</f>
        <v>#VALUE!</v>
      </c>
      <c r="BN24" t="e">
        <f>AND('2015'!S100,"AAAAAHPvv0E=")</f>
        <v>#VALUE!</v>
      </c>
      <c r="BO24" t="e">
        <f>AND('2015'!T100,"AAAAAHPvv0I=")</f>
        <v>#VALUE!</v>
      </c>
      <c r="BP24" t="e">
        <f>AND('2015'!U100,"AAAAAHPvv0M=")</f>
        <v>#VALUE!</v>
      </c>
      <c r="BQ24" t="e">
        <f>AND('2015'!V100,"AAAAAHPvv0Q=")</f>
        <v>#VALUE!</v>
      </c>
      <c r="BR24" t="e">
        <f>AND('2015'!W100,"AAAAAHPvv0U=")</f>
        <v>#VALUE!</v>
      </c>
      <c r="BS24" t="e">
        <f>AND('2015'!X100,"AAAAAHPvv0Y=")</f>
        <v>#VALUE!</v>
      </c>
      <c r="BT24" t="e">
        <f>AND('2015'!Y100,"AAAAAHPvv0c=")</f>
        <v>#VALUE!</v>
      </c>
      <c r="BU24" t="e">
        <f>AND('2015'!Z100,"AAAAAHPvv0g=")</f>
        <v>#VALUE!</v>
      </c>
      <c r="BV24" t="e">
        <f>AND('2015'!AA100,"AAAAAHPvv0k=")</f>
        <v>#VALUE!</v>
      </c>
      <c r="BW24" t="e">
        <f>AND('2015'!AB100,"AAAAAHPvv0o=")</f>
        <v>#VALUE!</v>
      </c>
      <c r="BX24" t="e">
        <f>AND('2015'!AC100,"AAAAAHPvv0s=")</f>
        <v>#VALUE!</v>
      </c>
      <c r="BY24" t="e">
        <f>AND('2015'!AD100,"AAAAAHPvv0w=")</f>
        <v>#VALUE!</v>
      </c>
      <c r="BZ24" t="e">
        <f>AND('2015'!AE100,"AAAAAHPvv00=")</f>
        <v>#VALUE!</v>
      </c>
      <c r="CA24" t="e">
        <f>AND('2015'!AF100,"AAAAAHPvv04=")</f>
        <v>#VALUE!</v>
      </c>
      <c r="CB24" t="e">
        <f>AND('2015'!AG100,"AAAAAHPvv08=")</f>
        <v>#VALUE!</v>
      </c>
      <c r="CC24" t="e">
        <f>AND('2015'!AH100,"AAAAAHPvv1A=")</f>
        <v>#VALUE!</v>
      </c>
      <c r="CD24" t="e">
        <f>AND('2015'!AI100,"AAAAAHPvv1E=")</f>
        <v>#VALUE!</v>
      </c>
      <c r="CE24" t="e">
        <f>AND('2015'!AJ100,"AAAAAHPvv1I=")</f>
        <v>#VALUE!</v>
      </c>
      <c r="CF24" t="e">
        <f>AND('2015'!AK100,"AAAAAHPvv1M=")</f>
        <v>#VALUE!</v>
      </c>
      <c r="CG24" t="e">
        <f>AND('2015'!AL100,"AAAAAHPvv1Q=")</f>
        <v>#VALUE!</v>
      </c>
      <c r="CH24" t="e">
        <f>AND('2015'!AM100,"AAAAAHPvv1U=")</f>
        <v>#VALUE!</v>
      </c>
      <c r="CI24" t="e">
        <f>AND('2015'!AN100,"AAAAAHPvv1Y=")</f>
        <v>#VALUE!</v>
      </c>
      <c r="CJ24" t="e">
        <f>AND('2015'!AO100,"AAAAAHPvv1c=")</f>
        <v>#VALUE!</v>
      </c>
      <c r="CK24" t="e">
        <f>AND('2015'!AP100,"AAAAAHPvv1g=")</f>
        <v>#VALUE!</v>
      </c>
      <c r="CL24" t="e">
        <f>AND('2015'!AQ100,"AAAAAHPvv1k=")</f>
        <v>#VALUE!</v>
      </c>
      <c r="CM24" t="e">
        <f>AND('2015'!AR100,"AAAAAHPvv1o=")</f>
        <v>#VALUE!</v>
      </c>
      <c r="CN24" t="e">
        <f>AND('2015'!AS100,"AAAAAHPvv1s=")</f>
        <v>#VALUE!</v>
      </c>
      <c r="CO24" t="e">
        <f>AND('2015'!AT100,"AAAAAHPvv1w=")</f>
        <v>#VALUE!</v>
      </c>
      <c r="CP24" t="e">
        <f>AND('2015'!#REF!,"AAAAAHPvv10=")</f>
        <v>#REF!</v>
      </c>
      <c r="CQ24" t="e">
        <f>AND('2015'!AU100,"AAAAAHPvv14=")</f>
        <v>#VALUE!</v>
      </c>
      <c r="CR24" t="e">
        <f>AND('2015'!AV100,"AAAAAHPvv18=")</f>
        <v>#VALUE!</v>
      </c>
      <c r="CS24" t="e">
        <f>AND('2015'!AW100,"AAAAAHPvv2A=")</f>
        <v>#VALUE!</v>
      </c>
      <c r="CT24" t="e">
        <f>AND('2015'!AX100,"AAAAAHPvv2E=")</f>
        <v>#VALUE!</v>
      </c>
      <c r="CU24" t="e">
        <f>AND('2015'!AY100,"AAAAAHPvv2I=")</f>
        <v>#VALUE!</v>
      </c>
      <c r="CV24" t="e">
        <f>AND('2015'!AZ100,"AAAAAHPvv2M=")</f>
        <v>#VALUE!</v>
      </c>
      <c r="CW24" t="e">
        <f>AND('2015'!BA100,"AAAAAHPvv2Q=")</f>
        <v>#VALUE!</v>
      </c>
      <c r="CX24" t="e">
        <f>AND('2015'!BB100,"AAAAAHPvv2U=")</f>
        <v>#VALUE!</v>
      </c>
      <c r="CY24" t="e">
        <f>AND('2015'!BC100,"AAAAAHPvv2Y=")</f>
        <v>#VALUE!</v>
      </c>
      <c r="CZ24" t="e">
        <f>AND('2015'!BD100,"AAAAAHPvv2c=")</f>
        <v>#VALUE!</v>
      </c>
      <c r="DA24" t="e">
        <f>AND('2015'!BE100,"AAAAAHPvv2g=")</f>
        <v>#VALUE!</v>
      </c>
      <c r="DB24" t="e">
        <f>AND('2015'!BF100,"AAAAAHPvv2k=")</f>
        <v>#VALUE!</v>
      </c>
      <c r="DC24" t="e">
        <f>AND('2015'!BG100,"AAAAAHPvv2o=")</f>
        <v>#VALUE!</v>
      </c>
      <c r="DD24" t="e">
        <f>AND('2015'!BH100,"AAAAAHPvv2s=")</f>
        <v>#VALUE!</v>
      </c>
      <c r="DE24" t="e">
        <f>AND('2015'!BI100,"AAAAAHPvv2w=")</f>
        <v>#VALUE!</v>
      </c>
      <c r="DF24" t="e">
        <f>AND('2015'!#REF!,"AAAAAHPvv20=")</f>
        <v>#REF!</v>
      </c>
      <c r="DG24" t="e">
        <f>AND('2015'!BJ100,"AAAAAHPvv24=")</f>
        <v>#VALUE!</v>
      </c>
      <c r="DH24" t="e">
        <f>AND('2015'!BK100,"AAAAAHPvv28=")</f>
        <v>#VALUE!</v>
      </c>
      <c r="DI24" t="e">
        <f>AND('2015'!BL100,"AAAAAHPvv3A=")</f>
        <v>#VALUE!</v>
      </c>
      <c r="DJ24" t="e">
        <f>AND('2015'!BM100,"AAAAAHPvv3E=")</f>
        <v>#VALUE!</v>
      </c>
      <c r="DK24" t="e">
        <f>AND('2015'!BY100,"AAAAAHPvv3I=")</f>
        <v>#VALUE!</v>
      </c>
      <c r="DL24">
        <f>IF('2015'!101:101,"AAAAAHPvv3M=",0)</f>
        <v>0</v>
      </c>
      <c r="DM24" t="e">
        <f>AND('2015'!A101,"AAAAAHPvv3Q=")</f>
        <v>#VALUE!</v>
      </c>
      <c r="DN24" t="e">
        <f>AND('2015'!B101,"AAAAAHPvv3U=")</f>
        <v>#VALUE!</v>
      </c>
      <c r="DO24" t="e">
        <f>AND('2015'!C101,"AAAAAHPvv3Y=")</f>
        <v>#VALUE!</v>
      </c>
      <c r="DP24" t="e">
        <f>AND('2015'!D101,"AAAAAHPvv3c=")</f>
        <v>#VALUE!</v>
      </c>
      <c r="DQ24" t="e">
        <f>AND('2015'!E101,"AAAAAHPvv3g=")</f>
        <v>#VALUE!</v>
      </c>
      <c r="DR24" t="e">
        <f>AND('2015'!F101,"AAAAAHPvv3k=")</f>
        <v>#VALUE!</v>
      </c>
      <c r="DS24" t="e">
        <f>AND('2015'!G101,"AAAAAHPvv3o=")</f>
        <v>#VALUE!</v>
      </c>
      <c r="DT24" t="e">
        <f>AND('2015'!H101,"AAAAAHPvv3s=")</f>
        <v>#VALUE!</v>
      </c>
      <c r="DU24" t="e">
        <f>AND('2015'!I101,"AAAAAHPvv3w=")</f>
        <v>#VALUE!</v>
      </c>
      <c r="DV24" t="e">
        <f>AND('2015'!J101,"AAAAAHPvv30=")</f>
        <v>#VALUE!</v>
      </c>
      <c r="DW24" t="e">
        <f>AND('2015'!K101,"AAAAAHPvv34=")</f>
        <v>#VALUE!</v>
      </c>
      <c r="DX24" t="e">
        <f>AND('2015'!L101,"AAAAAHPvv38=")</f>
        <v>#VALUE!</v>
      </c>
      <c r="DY24" t="e">
        <f>AND('2015'!M101,"AAAAAHPvv4A=")</f>
        <v>#VALUE!</v>
      </c>
      <c r="DZ24" t="e">
        <f>AND('2015'!N101,"AAAAAHPvv4E=")</f>
        <v>#VALUE!</v>
      </c>
      <c r="EA24" t="e">
        <f>AND('2015'!O101,"AAAAAHPvv4I=")</f>
        <v>#VALUE!</v>
      </c>
      <c r="EB24" t="e">
        <f>AND('2015'!P101,"AAAAAHPvv4M=")</f>
        <v>#VALUE!</v>
      </c>
      <c r="EC24" t="e">
        <f>AND('2015'!Q101,"AAAAAHPvv4Q=")</f>
        <v>#VALUE!</v>
      </c>
      <c r="ED24" t="e">
        <f>AND('2015'!R101,"AAAAAHPvv4U=")</f>
        <v>#VALUE!</v>
      </c>
      <c r="EE24" t="e">
        <f>AND('2015'!S101,"AAAAAHPvv4Y=")</f>
        <v>#VALUE!</v>
      </c>
      <c r="EF24" t="e">
        <f>AND('2015'!T101,"AAAAAHPvv4c=")</f>
        <v>#VALUE!</v>
      </c>
      <c r="EG24" t="e">
        <f>AND('2015'!U101,"AAAAAHPvv4g=")</f>
        <v>#VALUE!</v>
      </c>
      <c r="EH24" t="e">
        <f>AND('2015'!V101,"AAAAAHPvv4k=")</f>
        <v>#VALUE!</v>
      </c>
      <c r="EI24" t="e">
        <f>AND('2015'!W101,"AAAAAHPvv4o=")</f>
        <v>#VALUE!</v>
      </c>
      <c r="EJ24" t="e">
        <f>AND('2015'!X101,"AAAAAHPvv4s=")</f>
        <v>#VALUE!</v>
      </c>
      <c r="EK24" t="e">
        <f>AND('2015'!Y101,"AAAAAHPvv4w=")</f>
        <v>#VALUE!</v>
      </c>
      <c r="EL24" t="e">
        <f>AND('2015'!Z101,"AAAAAHPvv40=")</f>
        <v>#VALUE!</v>
      </c>
      <c r="EM24" t="e">
        <f>AND('2015'!AA101,"AAAAAHPvv44=")</f>
        <v>#VALUE!</v>
      </c>
      <c r="EN24" t="e">
        <f>AND('2015'!AB101,"AAAAAHPvv48=")</f>
        <v>#VALUE!</v>
      </c>
      <c r="EO24" t="e">
        <f>AND('2015'!AC101,"AAAAAHPvv5A=")</f>
        <v>#VALUE!</v>
      </c>
      <c r="EP24" t="e">
        <f>AND('2015'!AD101,"AAAAAHPvv5E=")</f>
        <v>#VALUE!</v>
      </c>
      <c r="EQ24" t="e">
        <f>AND('2015'!AE101,"AAAAAHPvv5I=")</f>
        <v>#VALUE!</v>
      </c>
      <c r="ER24" t="e">
        <f>AND('2015'!AF101,"AAAAAHPvv5M=")</f>
        <v>#VALUE!</v>
      </c>
      <c r="ES24" t="e">
        <f>AND('2015'!AG101,"AAAAAHPvv5Q=")</f>
        <v>#VALUE!</v>
      </c>
      <c r="ET24" t="e">
        <f>AND('2015'!AH101,"AAAAAHPvv5U=")</f>
        <v>#VALUE!</v>
      </c>
      <c r="EU24" t="e">
        <f>AND('2015'!AI101,"AAAAAHPvv5Y=")</f>
        <v>#VALUE!</v>
      </c>
      <c r="EV24" t="e">
        <f>AND('2015'!AJ101,"AAAAAHPvv5c=")</f>
        <v>#VALUE!</v>
      </c>
      <c r="EW24" t="e">
        <f>AND('2015'!AK101,"AAAAAHPvv5g=")</f>
        <v>#VALUE!</v>
      </c>
      <c r="EX24" t="e">
        <f>AND('2015'!AL101,"AAAAAHPvv5k=")</f>
        <v>#VALUE!</v>
      </c>
      <c r="EY24" t="e">
        <f>AND('2015'!AM101,"AAAAAHPvv5o=")</f>
        <v>#VALUE!</v>
      </c>
      <c r="EZ24" t="e">
        <f>AND('2015'!AN101,"AAAAAHPvv5s=")</f>
        <v>#VALUE!</v>
      </c>
      <c r="FA24" t="e">
        <f>AND('2015'!AO101,"AAAAAHPvv5w=")</f>
        <v>#VALUE!</v>
      </c>
      <c r="FB24" t="e">
        <f>AND('2015'!AP101,"AAAAAHPvv50=")</f>
        <v>#VALUE!</v>
      </c>
      <c r="FC24" t="e">
        <f>AND('2015'!AQ101,"AAAAAHPvv54=")</f>
        <v>#VALUE!</v>
      </c>
      <c r="FD24" t="e">
        <f>AND('2015'!AR101,"AAAAAHPvv58=")</f>
        <v>#VALUE!</v>
      </c>
      <c r="FE24" t="e">
        <f>AND('2015'!AS101,"AAAAAHPvv6A=")</f>
        <v>#VALUE!</v>
      </c>
      <c r="FF24" t="e">
        <f>AND('2015'!AT101,"AAAAAHPvv6E=")</f>
        <v>#VALUE!</v>
      </c>
      <c r="FG24" t="e">
        <f>AND('2015'!#REF!,"AAAAAHPvv6I=")</f>
        <v>#REF!</v>
      </c>
      <c r="FH24" t="e">
        <f>AND('2015'!AU101,"AAAAAHPvv6M=")</f>
        <v>#VALUE!</v>
      </c>
      <c r="FI24" t="e">
        <f>AND('2015'!AV101,"AAAAAHPvv6Q=")</f>
        <v>#VALUE!</v>
      </c>
      <c r="FJ24" t="e">
        <f>AND('2015'!AW101,"AAAAAHPvv6U=")</f>
        <v>#VALUE!</v>
      </c>
      <c r="FK24" t="e">
        <f>AND('2015'!AX101,"AAAAAHPvv6Y=")</f>
        <v>#VALUE!</v>
      </c>
      <c r="FL24" t="e">
        <f>AND('2015'!AY101,"AAAAAHPvv6c=")</f>
        <v>#VALUE!</v>
      </c>
      <c r="FM24" t="e">
        <f>AND('2015'!AZ101,"AAAAAHPvv6g=")</f>
        <v>#VALUE!</v>
      </c>
      <c r="FN24" t="e">
        <f>AND('2015'!BA101,"AAAAAHPvv6k=")</f>
        <v>#VALUE!</v>
      </c>
      <c r="FO24" t="e">
        <f>AND('2015'!BB101,"AAAAAHPvv6o=")</f>
        <v>#VALUE!</v>
      </c>
      <c r="FP24" t="e">
        <f>AND('2015'!BC101,"AAAAAHPvv6s=")</f>
        <v>#VALUE!</v>
      </c>
      <c r="FQ24" t="e">
        <f>AND('2015'!BD101,"AAAAAHPvv6w=")</f>
        <v>#VALUE!</v>
      </c>
      <c r="FR24" t="e">
        <f>AND('2015'!BE101,"AAAAAHPvv60=")</f>
        <v>#VALUE!</v>
      </c>
      <c r="FS24" t="e">
        <f>AND('2015'!BF101,"AAAAAHPvv64=")</f>
        <v>#VALUE!</v>
      </c>
      <c r="FT24" t="e">
        <f>AND('2015'!BG101,"AAAAAHPvv68=")</f>
        <v>#VALUE!</v>
      </c>
      <c r="FU24" t="e">
        <f>AND('2015'!BH101,"AAAAAHPvv7A=")</f>
        <v>#VALUE!</v>
      </c>
      <c r="FV24" t="e">
        <f>AND('2015'!BI101,"AAAAAHPvv7E=")</f>
        <v>#VALUE!</v>
      </c>
      <c r="FW24" t="e">
        <f>AND('2015'!#REF!,"AAAAAHPvv7I=")</f>
        <v>#REF!</v>
      </c>
      <c r="FX24" t="e">
        <f>AND('2015'!BJ101,"AAAAAHPvv7M=")</f>
        <v>#VALUE!</v>
      </c>
      <c r="FY24" t="e">
        <f>AND('2015'!BK101,"AAAAAHPvv7Q=")</f>
        <v>#VALUE!</v>
      </c>
      <c r="FZ24" t="e">
        <f>AND('2015'!BL101,"AAAAAHPvv7U=")</f>
        <v>#VALUE!</v>
      </c>
      <c r="GA24" t="e">
        <f>AND('2015'!BM101,"AAAAAHPvv7Y=")</f>
        <v>#VALUE!</v>
      </c>
      <c r="GB24" t="e">
        <f>AND('2015'!BY101,"AAAAAHPvv7c=")</f>
        <v>#VALUE!</v>
      </c>
      <c r="GC24">
        <f>IF('2015'!102:102,"AAAAAHPvv7g=",0)</f>
        <v>0</v>
      </c>
      <c r="GD24" t="e">
        <f>AND('2015'!A102,"AAAAAHPvv7k=")</f>
        <v>#VALUE!</v>
      </c>
      <c r="GE24" t="e">
        <f>AND('2015'!B102,"AAAAAHPvv7o=")</f>
        <v>#VALUE!</v>
      </c>
      <c r="GF24" t="e">
        <f>AND('2015'!C102,"AAAAAHPvv7s=")</f>
        <v>#VALUE!</v>
      </c>
      <c r="GG24" t="e">
        <f>AND('2015'!D102,"AAAAAHPvv7w=")</f>
        <v>#VALUE!</v>
      </c>
      <c r="GH24" t="e">
        <f>AND('2015'!E102,"AAAAAHPvv70=")</f>
        <v>#VALUE!</v>
      </c>
      <c r="GI24" t="e">
        <f>AND('2015'!F102,"AAAAAHPvv74=")</f>
        <v>#VALUE!</v>
      </c>
      <c r="GJ24" t="e">
        <f>AND('2015'!G102,"AAAAAHPvv78=")</f>
        <v>#VALUE!</v>
      </c>
      <c r="GK24" t="e">
        <f>AND('2015'!H102,"AAAAAHPvv8A=")</f>
        <v>#VALUE!</v>
      </c>
      <c r="GL24" t="e">
        <f>AND('2015'!I102,"AAAAAHPvv8E=")</f>
        <v>#VALUE!</v>
      </c>
      <c r="GM24" t="e">
        <f>AND('2015'!J102,"AAAAAHPvv8I=")</f>
        <v>#VALUE!</v>
      </c>
      <c r="GN24" t="e">
        <f>AND('2015'!K102,"AAAAAHPvv8M=")</f>
        <v>#VALUE!</v>
      </c>
      <c r="GO24" t="e">
        <f>AND('2015'!L102,"AAAAAHPvv8Q=")</f>
        <v>#VALUE!</v>
      </c>
      <c r="GP24" t="e">
        <f>AND('2015'!M102,"AAAAAHPvv8U=")</f>
        <v>#VALUE!</v>
      </c>
      <c r="GQ24" t="e">
        <f>AND('2015'!N102,"AAAAAHPvv8Y=")</f>
        <v>#VALUE!</v>
      </c>
      <c r="GR24" t="e">
        <f>AND('2015'!O102,"AAAAAHPvv8c=")</f>
        <v>#VALUE!</v>
      </c>
      <c r="GS24" t="e">
        <f>AND('2015'!P102,"AAAAAHPvv8g=")</f>
        <v>#VALUE!</v>
      </c>
      <c r="GT24" t="e">
        <f>AND('2015'!Q102,"AAAAAHPvv8k=")</f>
        <v>#VALUE!</v>
      </c>
      <c r="GU24" t="e">
        <f>AND('2015'!R102,"AAAAAHPvv8o=")</f>
        <v>#VALUE!</v>
      </c>
      <c r="GV24" t="e">
        <f>AND('2015'!S102,"AAAAAHPvv8s=")</f>
        <v>#VALUE!</v>
      </c>
      <c r="GW24" t="e">
        <f>AND('2015'!T102,"AAAAAHPvv8w=")</f>
        <v>#VALUE!</v>
      </c>
      <c r="GX24" t="e">
        <f>AND('2015'!U102,"AAAAAHPvv80=")</f>
        <v>#VALUE!</v>
      </c>
      <c r="GY24" t="e">
        <f>AND('2015'!V102,"AAAAAHPvv84=")</f>
        <v>#VALUE!</v>
      </c>
      <c r="GZ24" t="e">
        <f>AND('2015'!W102,"AAAAAHPvv88=")</f>
        <v>#VALUE!</v>
      </c>
      <c r="HA24" t="e">
        <f>AND('2015'!X102,"AAAAAHPvv9A=")</f>
        <v>#VALUE!</v>
      </c>
      <c r="HB24" t="e">
        <f>AND('2015'!Y102,"AAAAAHPvv9E=")</f>
        <v>#VALUE!</v>
      </c>
      <c r="HC24" t="e">
        <f>AND('2015'!Z102,"AAAAAHPvv9I=")</f>
        <v>#VALUE!</v>
      </c>
      <c r="HD24" t="e">
        <f>AND('2015'!AA102,"AAAAAHPvv9M=")</f>
        <v>#VALUE!</v>
      </c>
      <c r="HE24" t="e">
        <f>AND('2015'!AB102,"AAAAAHPvv9Q=")</f>
        <v>#VALUE!</v>
      </c>
      <c r="HF24" t="e">
        <f>AND('2015'!AC102,"AAAAAHPvv9U=")</f>
        <v>#VALUE!</v>
      </c>
      <c r="HG24" t="e">
        <f>AND('2015'!AD102,"AAAAAHPvv9Y=")</f>
        <v>#VALUE!</v>
      </c>
      <c r="HH24" t="e">
        <f>AND('2015'!AE102,"AAAAAHPvv9c=")</f>
        <v>#VALUE!</v>
      </c>
      <c r="HI24" t="e">
        <f>AND('2015'!AF102,"AAAAAHPvv9g=")</f>
        <v>#VALUE!</v>
      </c>
      <c r="HJ24" t="e">
        <f>AND('2015'!AG102,"AAAAAHPvv9k=")</f>
        <v>#VALUE!</v>
      </c>
      <c r="HK24" t="e">
        <f>AND('2015'!AH102,"AAAAAHPvv9o=")</f>
        <v>#VALUE!</v>
      </c>
      <c r="HL24" t="e">
        <f>AND('2015'!AI102,"AAAAAHPvv9s=")</f>
        <v>#VALUE!</v>
      </c>
      <c r="HM24" t="e">
        <f>AND('2015'!AJ102,"AAAAAHPvv9w=")</f>
        <v>#VALUE!</v>
      </c>
      <c r="HN24" t="e">
        <f>AND('2015'!AK102,"AAAAAHPvv90=")</f>
        <v>#VALUE!</v>
      </c>
      <c r="HO24" t="e">
        <f>AND('2015'!AL102,"AAAAAHPvv94=")</f>
        <v>#VALUE!</v>
      </c>
      <c r="HP24" t="e">
        <f>AND('2015'!AM102,"AAAAAHPvv98=")</f>
        <v>#VALUE!</v>
      </c>
      <c r="HQ24" t="e">
        <f>AND('2015'!AN102,"AAAAAHPvv+A=")</f>
        <v>#VALUE!</v>
      </c>
      <c r="HR24" t="e">
        <f>AND('2015'!AO102,"AAAAAHPvv+E=")</f>
        <v>#VALUE!</v>
      </c>
      <c r="HS24" t="e">
        <f>AND('2015'!AP102,"AAAAAHPvv+I=")</f>
        <v>#VALUE!</v>
      </c>
      <c r="HT24" t="e">
        <f>AND('2015'!AQ102,"AAAAAHPvv+M=")</f>
        <v>#VALUE!</v>
      </c>
      <c r="HU24" t="e">
        <f>AND('2015'!AR102,"AAAAAHPvv+Q=")</f>
        <v>#VALUE!</v>
      </c>
      <c r="HV24" t="e">
        <f>AND('2015'!AS102,"AAAAAHPvv+U=")</f>
        <v>#VALUE!</v>
      </c>
      <c r="HW24" t="e">
        <f>AND('2015'!AT102,"AAAAAHPvv+Y=")</f>
        <v>#VALUE!</v>
      </c>
      <c r="HX24" t="e">
        <f>AND('2015'!#REF!,"AAAAAHPvv+c=")</f>
        <v>#REF!</v>
      </c>
      <c r="HY24" t="e">
        <f>AND('2015'!AU102,"AAAAAHPvv+g=")</f>
        <v>#VALUE!</v>
      </c>
      <c r="HZ24" t="e">
        <f>AND('2015'!AV102,"AAAAAHPvv+k=")</f>
        <v>#VALUE!</v>
      </c>
      <c r="IA24" t="e">
        <f>AND('2015'!AW102,"AAAAAHPvv+o=")</f>
        <v>#VALUE!</v>
      </c>
      <c r="IB24" t="e">
        <f>AND('2015'!AX102,"AAAAAHPvv+s=")</f>
        <v>#VALUE!</v>
      </c>
      <c r="IC24" t="e">
        <f>AND('2015'!AY102,"AAAAAHPvv+w=")</f>
        <v>#VALUE!</v>
      </c>
      <c r="ID24" t="e">
        <f>AND('2015'!AZ102,"AAAAAHPvv+0=")</f>
        <v>#VALUE!</v>
      </c>
      <c r="IE24" t="e">
        <f>AND('2015'!BA102,"AAAAAHPvv+4=")</f>
        <v>#VALUE!</v>
      </c>
      <c r="IF24" t="e">
        <f>AND('2015'!BB102,"AAAAAHPvv+8=")</f>
        <v>#VALUE!</v>
      </c>
      <c r="IG24" t="e">
        <f>AND('2015'!BC102,"AAAAAHPvv/A=")</f>
        <v>#VALUE!</v>
      </c>
      <c r="IH24" t="e">
        <f>AND('2015'!BD102,"AAAAAHPvv/E=")</f>
        <v>#VALUE!</v>
      </c>
      <c r="II24" t="e">
        <f>AND('2015'!BE102,"AAAAAHPvv/I=")</f>
        <v>#VALUE!</v>
      </c>
      <c r="IJ24" t="e">
        <f>AND('2015'!BF102,"AAAAAHPvv/M=")</f>
        <v>#VALUE!</v>
      </c>
      <c r="IK24" t="e">
        <f>AND('2015'!BG102,"AAAAAHPvv/Q=")</f>
        <v>#VALUE!</v>
      </c>
      <c r="IL24" t="e">
        <f>AND('2015'!BH102,"AAAAAHPvv/U=")</f>
        <v>#VALUE!</v>
      </c>
      <c r="IM24" t="e">
        <f>AND('2015'!BI102,"AAAAAHPvv/Y=")</f>
        <v>#VALUE!</v>
      </c>
      <c r="IN24" t="e">
        <f>AND('2015'!#REF!,"AAAAAHPvv/c=")</f>
        <v>#REF!</v>
      </c>
      <c r="IO24" t="e">
        <f>AND('2015'!BJ102,"AAAAAHPvv/g=")</f>
        <v>#VALUE!</v>
      </c>
      <c r="IP24" t="e">
        <f>AND('2015'!BK102,"AAAAAHPvv/k=")</f>
        <v>#VALUE!</v>
      </c>
      <c r="IQ24" t="e">
        <f>AND('2015'!BL102,"AAAAAHPvv/o=")</f>
        <v>#VALUE!</v>
      </c>
      <c r="IR24" t="e">
        <f>AND('2015'!BM102,"AAAAAHPvv/s=")</f>
        <v>#VALUE!</v>
      </c>
      <c r="IS24" t="e">
        <f>AND('2015'!BY102,"AAAAAHPvv/w=")</f>
        <v>#VALUE!</v>
      </c>
      <c r="IT24">
        <f>IF('2015'!103:103,"AAAAAHPvv/0=",0)</f>
        <v>0</v>
      </c>
      <c r="IU24" t="e">
        <f>AND('2015'!A103,"AAAAAHPvv/4=")</f>
        <v>#VALUE!</v>
      </c>
      <c r="IV24" t="e">
        <f>AND('2015'!B103,"AAAAAHPvv/8=")</f>
        <v>#VALUE!</v>
      </c>
    </row>
    <row r="25" spans="1:256" x14ac:dyDescent="0.25">
      <c r="A25" t="e">
        <f>AND('2015'!C103,"AAAAAF9q/gA=")</f>
        <v>#VALUE!</v>
      </c>
      <c r="B25" t="e">
        <f>AND('2015'!D103,"AAAAAF9q/gE=")</f>
        <v>#VALUE!</v>
      </c>
      <c r="C25" t="e">
        <f>AND('2015'!E103,"AAAAAF9q/gI=")</f>
        <v>#VALUE!</v>
      </c>
      <c r="D25" t="e">
        <f>AND('2015'!F103,"AAAAAF9q/gM=")</f>
        <v>#VALUE!</v>
      </c>
      <c r="E25" t="e">
        <f>AND('2015'!G103,"AAAAAF9q/gQ=")</f>
        <v>#VALUE!</v>
      </c>
      <c r="F25" t="e">
        <f>AND('2015'!H103,"AAAAAF9q/gU=")</f>
        <v>#VALUE!</v>
      </c>
      <c r="G25" t="e">
        <f>AND('2015'!I103,"AAAAAF9q/gY=")</f>
        <v>#VALUE!</v>
      </c>
      <c r="H25" t="e">
        <f>AND('2015'!J103,"AAAAAF9q/gc=")</f>
        <v>#VALUE!</v>
      </c>
      <c r="I25" t="e">
        <f>AND('2015'!K103,"AAAAAF9q/gg=")</f>
        <v>#VALUE!</v>
      </c>
      <c r="J25" t="e">
        <f>AND('2015'!L103,"AAAAAF9q/gk=")</f>
        <v>#VALUE!</v>
      </c>
      <c r="K25" t="e">
        <f>AND('2015'!M103,"AAAAAF9q/go=")</f>
        <v>#VALUE!</v>
      </c>
      <c r="L25" t="e">
        <f>AND('2015'!N103,"AAAAAF9q/gs=")</f>
        <v>#VALUE!</v>
      </c>
      <c r="M25" t="e">
        <f>AND('2015'!O103,"AAAAAF9q/gw=")</f>
        <v>#VALUE!</v>
      </c>
      <c r="N25" t="e">
        <f>AND('2015'!P103,"AAAAAF9q/g0=")</f>
        <v>#VALUE!</v>
      </c>
      <c r="O25" t="e">
        <f>AND('2015'!Q103,"AAAAAF9q/g4=")</f>
        <v>#VALUE!</v>
      </c>
      <c r="P25" t="e">
        <f>AND('2015'!R103,"AAAAAF9q/g8=")</f>
        <v>#VALUE!</v>
      </c>
      <c r="Q25" t="e">
        <f>AND('2015'!S103,"AAAAAF9q/hA=")</f>
        <v>#VALUE!</v>
      </c>
      <c r="R25" t="e">
        <f>AND('2015'!T103,"AAAAAF9q/hE=")</f>
        <v>#VALUE!</v>
      </c>
      <c r="S25" t="e">
        <f>AND('2015'!U103,"AAAAAF9q/hI=")</f>
        <v>#VALUE!</v>
      </c>
      <c r="T25" t="e">
        <f>AND('2015'!V103,"AAAAAF9q/hM=")</f>
        <v>#VALUE!</v>
      </c>
      <c r="U25" t="e">
        <f>AND('2015'!W103,"AAAAAF9q/hQ=")</f>
        <v>#VALUE!</v>
      </c>
      <c r="V25" t="e">
        <f>AND('2015'!X103,"AAAAAF9q/hU=")</f>
        <v>#VALUE!</v>
      </c>
      <c r="W25" t="e">
        <f>AND('2015'!Y103,"AAAAAF9q/hY=")</f>
        <v>#VALUE!</v>
      </c>
      <c r="X25" t="e">
        <f>AND('2015'!Z103,"AAAAAF9q/hc=")</f>
        <v>#VALUE!</v>
      </c>
      <c r="Y25" t="e">
        <f>AND('2015'!AA103,"AAAAAF9q/hg=")</f>
        <v>#VALUE!</v>
      </c>
      <c r="Z25" t="e">
        <f>AND('2015'!AB103,"AAAAAF9q/hk=")</f>
        <v>#VALUE!</v>
      </c>
      <c r="AA25" t="e">
        <f>AND('2015'!AC103,"AAAAAF9q/ho=")</f>
        <v>#VALUE!</v>
      </c>
      <c r="AB25" t="e">
        <f>AND('2015'!AD103,"AAAAAF9q/hs=")</f>
        <v>#VALUE!</v>
      </c>
      <c r="AC25" t="e">
        <f>AND('2015'!AE103,"AAAAAF9q/hw=")</f>
        <v>#VALUE!</v>
      </c>
      <c r="AD25" t="e">
        <f>AND('2015'!AF103,"AAAAAF9q/h0=")</f>
        <v>#VALUE!</v>
      </c>
      <c r="AE25" t="e">
        <f>AND('2015'!AG103,"AAAAAF9q/h4=")</f>
        <v>#VALUE!</v>
      </c>
      <c r="AF25" t="e">
        <f>AND('2015'!AH103,"AAAAAF9q/h8=")</f>
        <v>#VALUE!</v>
      </c>
      <c r="AG25" t="e">
        <f>AND('2015'!AI103,"AAAAAF9q/iA=")</f>
        <v>#VALUE!</v>
      </c>
      <c r="AH25" t="e">
        <f>AND('2015'!AJ103,"AAAAAF9q/iE=")</f>
        <v>#VALUE!</v>
      </c>
      <c r="AI25" t="e">
        <f>AND('2015'!AK103,"AAAAAF9q/iI=")</f>
        <v>#VALUE!</v>
      </c>
      <c r="AJ25" t="e">
        <f>AND('2015'!AL103,"AAAAAF9q/iM=")</f>
        <v>#VALUE!</v>
      </c>
      <c r="AK25" t="e">
        <f>AND('2015'!AM103,"AAAAAF9q/iQ=")</f>
        <v>#VALUE!</v>
      </c>
      <c r="AL25" t="e">
        <f>AND('2015'!AN103,"AAAAAF9q/iU=")</f>
        <v>#VALUE!</v>
      </c>
      <c r="AM25" t="e">
        <f>AND('2015'!AO103,"AAAAAF9q/iY=")</f>
        <v>#VALUE!</v>
      </c>
      <c r="AN25" t="e">
        <f>AND('2015'!AP103,"AAAAAF9q/ic=")</f>
        <v>#VALUE!</v>
      </c>
      <c r="AO25" t="e">
        <f>AND('2015'!AQ103,"AAAAAF9q/ig=")</f>
        <v>#VALUE!</v>
      </c>
      <c r="AP25" t="e">
        <f>AND('2015'!AR103,"AAAAAF9q/ik=")</f>
        <v>#VALUE!</v>
      </c>
      <c r="AQ25" t="e">
        <f>AND('2015'!AS103,"AAAAAF9q/io=")</f>
        <v>#VALUE!</v>
      </c>
      <c r="AR25" t="e">
        <f>AND('2015'!AT103,"AAAAAF9q/is=")</f>
        <v>#VALUE!</v>
      </c>
      <c r="AS25" t="e">
        <f>AND('2015'!#REF!,"AAAAAF9q/iw=")</f>
        <v>#REF!</v>
      </c>
      <c r="AT25" t="e">
        <f>AND('2015'!AU103,"AAAAAF9q/i0=")</f>
        <v>#VALUE!</v>
      </c>
      <c r="AU25" t="e">
        <f>AND('2015'!AV103,"AAAAAF9q/i4=")</f>
        <v>#VALUE!</v>
      </c>
      <c r="AV25" t="e">
        <f>AND('2015'!AW103,"AAAAAF9q/i8=")</f>
        <v>#VALUE!</v>
      </c>
      <c r="AW25" t="e">
        <f>AND('2015'!AX103,"AAAAAF9q/jA=")</f>
        <v>#VALUE!</v>
      </c>
      <c r="AX25" t="e">
        <f>AND('2015'!AY103,"AAAAAF9q/jE=")</f>
        <v>#VALUE!</v>
      </c>
      <c r="AY25" t="e">
        <f>AND('2015'!AZ103,"AAAAAF9q/jI=")</f>
        <v>#VALUE!</v>
      </c>
      <c r="AZ25" t="e">
        <f>AND('2015'!BA103,"AAAAAF9q/jM=")</f>
        <v>#VALUE!</v>
      </c>
      <c r="BA25" t="e">
        <f>AND('2015'!BB103,"AAAAAF9q/jQ=")</f>
        <v>#VALUE!</v>
      </c>
      <c r="BB25" t="e">
        <f>AND('2015'!BC103,"AAAAAF9q/jU=")</f>
        <v>#VALUE!</v>
      </c>
      <c r="BC25" t="e">
        <f>AND('2015'!BD103,"AAAAAF9q/jY=")</f>
        <v>#VALUE!</v>
      </c>
      <c r="BD25" t="e">
        <f>AND('2015'!BE103,"AAAAAF9q/jc=")</f>
        <v>#VALUE!</v>
      </c>
      <c r="BE25" t="e">
        <f>AND('2015'!BF103,"AAAAAF9q/jg=")</f>
        <v>#VALUE!</v>
      </c>
      <c r="BF25" t="e">
        <f>AND('2015'!BG103,"AAAAAF9q/jk=")</f>
        <v>#VALUE!</v>
      </c>
      <c r="BG25" t="e">
        <f>AND('2015'!BH103,"AAAAAF9q/jo=")</f>
        <v>#VALUE!</v>
      </c>
      <c r="BH25" t="e">
        <f>AND('2015'!BI103,"AAAAAF9q/js=")</f>
        <v>#VALUE!</v>
      </c>
      <c r="BI25" t="e">
        <f>AND('2015'!#REF!,"AAAAAF9q/jw=")</f>
        <v>#REF!</v>
      </c>
      <c r="BJ25" t="e">
        <f>AND('2015'!BJ103,"AAAAAF9q/j0=")</f>
        <v>#VALUE!</v>
      </c>
      <c r="BK25" t="e">
        <f>AND('2015'!BK103,"AAAAAF9q/j4=")</f>
        <v>#VALUE!</v>
      </c>
      <c r="BL25" t="e">
        <f>AND('2015'!BL103,"AAAAAF9q/j8=")</f>
        <v>#VALUE!</v>
      </c>
      <c r="BM25" t="e">
        <f>AND('2015'!BM103,"AAAAAF9q/kA=")</f>
        <v>#VALUE!</v>
      </c>
      <c r="BN25" t="e">
        <f>AND('2015'!BY103,"AAAAAF9q/kE=")</f>
        <v>#VALUE!</v>
      </c>
      <c r="BO25">
        <f>IF('2015'!104:104,"AAAAAF9q/kI=",0)</f>
        <v>0</v>
      </c>
      <c r="BP25" t="e">
        <f>AND('2015'!A104,"AAAAAF9q/kM=")</f>
        <v>#VALUE!</v>
      </c>
      <c r="BQ25" t="e">
        <f>AND('2015'!B104,"AAAAAF9q/kQ=")</f>
        <v>#VALUE!</v>
      </c>
      <c r="BR25" t="e">
        <f>AND('2015'!C104,"AAAAAF9q/kU=")</f>
        <v>#VALUE!</v>
      </c>
      <c r="BS25" t="e">
        <f>AND('2015'!D104,"AAAAAF9q/kY=")</f>
        <v>#VALUE!</v>
      </c>
      <c r="BT25" t="e">
        <f>AND('2015'!E104,"AAAAAF9q/kc=")</f>
        <v>#VALUE!</v>
      </c>
      <c r="BU25" t="e">
        <f>AND('2015'!F104,"AAAAAF9q/kg=")</f>
        <v>#VALUE!</v>
      </c>
      <c r="BV25" t="e">
        <f>AND('2015'!G104,"AAAAAF9q/kk=")</f>
        <v>#VALUE!</v>
      </c>
      <c r="BW25" t="e">
        <f>AND('2015'!H104,"AAAAAF9q/ko=")</f>
        <v>#VALUE!</v>
      </c>
      <c r="BX25" t="e">
        <f>AND('2015'!I104,"AAAAAF9q/ks=")</f>
        <v>#VALUE!</v>
      </c>
      <c r="BY25" t="e">
        <f>AND('2015'!J104,"AAAAAF9q/kw=")</f>
        <v>#VALUE!</v>
      </c>
      <c r="BZ25" t="e">
        <f>AND('2015'!K104,"AAAAAF9q/k0=")</f>
        <v>#VALUE!</v>
      </c>
      <c r="CA25" t="e">
        <f>AND('2015'!L104,"AAAAAF9q/k4=")</f>
        <v>#VALUE!</v>
      </c>
      <c r="CB25" t="e">
        <f>AND('2015'!M104,"AAAAAF9q/k8=")</f>
        <v>#VALUE!</v>
      </c>
      <c r="CC25" t="e">
        <f>AND('2015'!N104,"AAAAAF9q/lA=")</f>
        <v>#VALUE!</v>
      </c>
      <c r="CD25" t="e">
        <f>AND('2015'!O104,"AAAAAF9q/lE=")</f>
        <v>#VALUE!</v>
      </c>
      <c r="CE25" t="e">
        <f>AND('2015'!P104,"AAAAAF9q/lI=")</f>
        <v>#VALUE!</v>
      </c>
      <c r="CF25" t="e">
        <f>AND('2015'!Q104,"AAAAAF9q/lM=")</f>
        <v>#VALUE!</v>
      </c>
      <c r="CG25" t="e">
        <f>AND('2015'!R104,"AAAAAF9q/lQ=")</f>
        <v>#VALUE!</v>
      </c>
      <c r="CH25" t="e">
        <f>AND('2015'!S104,"AAAAAF9q/lU=")</f>
        <v>#VALUE!</v>
      </c>
      <c r="CI25" t="e">
        <f>AND('2015'!T104,"AAAAAF9q/lY=")</f>
        <v>#VALUE!</v>
      </c>
      <c r="CJ25" t="e">
        <f>AND('2015'!U104,"AAAAAF9q/lc=")</f>
        <v>#VALUE!</v>
      </c>
      <c r="CK25" t="e">
        <f>AND('2015'!V104,"AAAAAF9q/lg=")</f>
        <v>#VALUE!</v>
      </c>
      <c r="CL25" t="e">
        <f>AND('2015'!W104,"AAAAAF9q/lk=")</f>
        <v>#VALUE!</v>
      </c>
      <c r="CM25" t="e">
        <f>AND('2015'!X104,"AAAAAF9q/lo=")</f>
        <v>#VALUE!</v>
      </c>
      <c r="CN25" t="e">
        <f>AND('2015'!Y104,"AAAAAF9q/ls=")</f>
        <v>#VALUE!</v>
      </c>
      <c r="CO25" t="e">
        <f>AND('2015'!Z104,"AAAAAF9q/lw=")</f>
        <v>#VALUE!</v>
      </c>
      <c r="CP25" t="e">
        <f>AND('2015'!AA104,"AAAAAF9q/l0=")</f>
        <v>#VALUE!</v>
      </c>
      <c r="CQ25" t="e">
        <f>AND('2015'!AB104,"AAAAAF9q/l4=")</f>
        <v>#VALUE!</v>
      </c>
      <c r="CR25" t="e">
        <f>AND('2015'!AC104,"AAAAAF9q/l8=")</f>
        <v>#VALUE!</v>
      </c>
      <c r="CS25" t="e">
        <f>AND('2015'!AD104,"AAAAAF9q/mA=")</f>
        <v>#VALUE!</v>
      </c>
      <c r="CT25" t="e">
        <f>AND('2015'!AE104,"AAAAAF9q/mE=")</f>
        <v>#VALUE!</v>
      </c>
      <c r="CU25" t="e">
        <f>AND('2015'!AF104,"AAAAAF9q/mI=")</f>
        <v>#VALUE!</v>
      </c>
      <c r="CV25" t="e">
        <f>AND('2015'!AG104,"AAAAAF9q/mM=")</f>
        <v>#VALUE!</v>
      </c>
      <c r="CW25" t="e">
        <f>AND('2015'!AH104,"AAAAAF9q/mQ=")</f>
        <v>#VALUE!</v>
      </c>
      <c r="CX25" t="e">
        <f>AND('2015'!AI104,"AAAAAF9q/mU=")</f>
        <v>#VALUE!</v>
      </c>
      <c r="CY25" t="e">
        <f>AND('2015'!AJ104,"AAAAAF9q/mY=")</f>
        <v>#VALUE!</v>
      </c>
      <c r="CZ25" t="e">
        <f>AND('2015'!AK104,"AAAAAF9q/mc=")</f>
        <v>#VALUE!</v>
      </c>
      <c r="DA25" t="e">
        <f>AND('2015'!AL104,"AAAAAF9q/mg=")</f>
        <v>#VALUE!</v>
      </c>
      <c r="DB25" t="e">
        <f>AND('2015'!AM104,"AAAAAF9q/mk=")</f>
        <v>#VALUE!</v>
      </c>
      <c r="DC25" t="e">
        <f>AND('2015'!AN104,"AAAAAF9q/mo=")</f>
        <v>#VALUE!</v>
      </c>
      <c r="DD25" t="e">
        <f>AND('2015'!AO104,"AAAAAF9q/ms=")</f>
        <v>#VALUE!</v>
      </c>
      <c r="DE25" t="e">
        <f>AND('2015'!AP104,"AAAAAF9q/mw=")</f>
        <v>#VALUE!</v>
      </c>
      <c r="DF25" t="e">
        <f>AND('2015'!AQ104,"AAAAAF9q/m0=")</f>
        <v>#VALUE!</v>
      </c>
      <c r="DG25" t="e">
        <f>AND('2015'!AR104,"AAAAAF9q/m4=")</f>
        <v>#VALUE!</v>
      </c>
      <c r="DH25" t="e">
        <f>AND('2015'!AS104,"AAAAAF9q/m8=")</f>
        <v>#VALUE!</v>
      </c>
      <c r="DI25" t="e">
        <f>AND('2015'!AT104,"AAAAAF9q/nA=")</f>
        <v>#VALUE!</v>
      </c>
      <c r="DJ25" t="e">
        <f>AND('2015'!#REF!,"AAAAAF9q/nE=")</f>
        <v>#REF!</v>
      </c>
      <c r="DK25" t="e">
        <f>AND('2015'!AU104,"AAAAAF9q/nI=")</f>
        <v>#VALUE!</v>
      </c>
      <c r="DL25" t="e">
        <f>AND('2015'!AV104,"AAAAAF9q/nM=")</f>
        <v>#VALUE!</v>
      </c>
      <c r="DM25" t="e">
        <f>AND('2015'!AW104,"AAAAAF9q/nQ=")</f>
        <v>#VALUE!</v>
      </c>
      <c r="DN25" t="e">
        <f>AND('2015'!AX104,"AAAAAF9q/nU=")</f>
        <v>#VALUE!</v>
      </c>
      <c r="DO25" t="e">
        <f>AND('2015'!AY104,"AAAAAF9q/nY=")</f>
        <v>#VALUE!</v>
      </c>
      <c r="DP25" t="e">
        <f>AND('2015'!AZ104,"AAAAAF9q/nc=")</f>
        <v>#VALUE!</v>
      </c>
      <c r="DQ25" t="e">
        <f>AND('2015'!BA104,"AAAAAF9q/ng=")</f>
        <v>#VALUE!</v>
      </c>
      <c r="DR25" t="e">
        <f>AND('2015'!BB104,"AAAAAF9q/nk=")</f>
        <v>#VALUE!</v>
      </c>
      <c r="DS25" t="e">
        <f>AND('2015'!BC104,"AAAAAF9q/no=")</f>
        <v>#VALUE!</v>
      </c>
      <c r="DT25" t="e">
        <f>AND('2015'!BD104,"AAAAAF9q/ns=")</f>
        <v>#VALUE!</v>
      </c>
      <c r="DU25" t="e">
        <f>AND('2015'!BE104,"AAAAAF9q/nw=")</f>
        <v>#VALUE!</v>
      </c>
      <c r="DV25" t="e">
        <f>AND('2015'!BF104,"AAAAAF9q/n0=")</f>
        <v>#VALUE!</v>
      </c>
      <c r="DW25" t="e">
        <f>AND('2015'!BG104,"AAAAAF9q/n4=")</f>
        <v>#VALUE!</v>
      </c>
      <c r="DX25" t="e">
        <f>AND('2015'!BH104,"AAAAAF9q/n8=")</f>
        <v>#VALUE!</v>
      </c>
      <c r="DY25" t="e">
        <f>AND('2015'!BI104,"AAAAAF9q/oA=")</f>
        <v>#VALUE!</v>
      </c>
      <c r="DZ25" t="e">
        <f>AND('2015'!#REF!,"AAAAAF9q/oE=")</f>
        <v>#REF!</v>
      </c>
      <c r="EA25" t="e">
        <f>AND('2015'!BJ104,"AAAAAF9q/oI=")</f>
        <v>#VALUE!</v>
      </c>
      <c r="EB25" t="e">
        <f>AND('2015'!BK104,"AAAAAF9q/oM=")</f>
        <v>#VALUE!</v>
      </c>
      <c r="EC25" t="e">
        <f>AND('2015'!BL104,"AAAAAF9q/oQ=")</f>
        <v>#VALUE!</v>
      </c>
      <c r="ED25" t="e">
        <f>AND('2015'!BM104,"AAAAAF9q/oU=")</f>
        <v>#VALUE!</v>
      </c>
      <c r="EE25" t="e">
        <f>AND('2015'!BY104,"AAAAAF9q/oY=")</f>
        <v>#VALUE!</v>
      </c>
      <c r="EF25">
        <f>IF('2015'!187:187,"AAAAAF9q/oc=",0)</f>
        <v>0</v>
      </c>
      <c r="EG25" t="e">
        <f>AND('2015'!A187,"AAAAAF9q/og=")</f>
        <v>#VALUE!</v>
      </c>
      <c r="EH25" t="e">
        <f>AND('2015'!B187,"AAAAAF9q/ok=")</f>
        <v>#VALUE!</v>
      </c>
      <c r="EI25" t="e">
        <f>AND('2015'!#REF!,"AAAAAF9q/oo=")</f>
        <v>#REF!</v>
      </c>
      <c r="EJ25" t="e">
        <f>AND('2015'!D187,"AAAAAF9q/os=")</f>
        <v>#VALUE!</v>
      </c>
      <c r="EK25" t="e">
        <f>AND('2015'!E187,"AAAAAF9q/ow=")</f>
        <v>#VALUE!</v>
      </c>
      <c r="EL25" t="e">
        <f>AND('2015'!C187,"AAAAAF9q/o0=")</f>
        <v>#VALUE!</v>
      </c>
      <c r="EM25" t="e">
        <f>AND('2015'!G187,"AAAAAF9q/o4=")</f>
        <v>#VALUE!</v>
      </c>
      <c r="EN25" t="e">
        <f>AND('2015'!H187,"AAAAAF9q/o8=")</f>
        <v>#VALUE!</v>
      </c>
      <c r="EO25" t="e">
        <f>AND('2015'!I187,"AAAAAF9q/pA=")</f>
        <v>#VALUE!</v>
      </c>
      <c r="EP25" t="e">
        <f>AND('2015'!J187,"AAAAAF9q/pE=")</f>
        <v>#VALUE!</v>
      </c>
      <c r="EQ25" t="e">
        <f>AND('2015'!K187,"AAAAAF9q/pI=")</f>
        <v>#VALUE!</v>
      </c>
      <c r="ER25" t="e">
        <f>AND('2015'!L187,"AAAAAF9q/pM=")</f>
        <v>#VALUE!</v>
      </c>
      <c r="ES25" t="e">
        <f>AND('2015'!M187,"AAAAAF9q/pQ=")</f>
        <v>#VALUE!</v>
      </c>
      <c r="ET25" t="e">
        <f>AND('2015'!N187,"AAAAAF9q/pU=")</f>
        <v>#VALUE!</v>
      </c>
      <c r="EU25" t="e">
        <f>AND('2015'!O187,"AAAAAF9q/pY=")</f>
        <v>#VALUE!</v>
      </c>
      <c r="EV25" t="e">
        <f>AND('2015'!P187,"AAAAAF9q/pc=")</f>
        <v>#VALUE!</v>
      </c>
      <c r="EW25" t="e">
        <f>AND('2015'!Q187,"AAAAAF9q/pg=")</f>
        <v>#VALUE!</v>
      </c>
      <c r="EX25" t="e">
        <f>AND('2015'!R187,"AAAAAF9q/pk=")</f>
        <v>#VALUE!</v>
      </c>
      <c r="EY25" t="e">
        <f>AND('2015'!S187,"AAAAAF9q/po=")</f>
        <v>#VALUE!</v>
      </c>
      <c r="EZ25" t="e">
        <f>AND('2015'!T187,"AAAAAF9q/ps=")</f>
        <v>#VALUE!</v>
      </c>
      <c r="FA25" t="e">
        <f>AND('2015'!U187,"AAAAAF9q/pw=")</f>
        <v>#VALUE!</v>
      </c>
      <c r="FB25" t="e">
        <f>AND('2015'!V187,"AAAAAF9q/p0=")</f>
        <v>#VALUE!</v>
      </c>
      <c r="FC25" t="e">
        <f>AND('2015'!W187,"AAAAAF9q/p4=")</f>
        <v>#VALUE!</v>
      </c>
      <c r="FD25" t="e">
        <f>AND('2015'!X187,"AAAAAF9q/p8=")</f>
        <v>#VALUE!</v>
      </c>
      <c r="FE25" t="e">
        <f>AND('2015'!Y187,"AAAAAF9q/qA=")</f>
        <v>#VALUE!</v>
      </c>
      <c r="FF25" t="e">
        <f>AND('2015'!Z187,"AAAAAF9q/qE=")</f>
        <v>#VALUE!</v>
      </c>
      <c r="FG25" t="e">
        <f>AND('2015'!AA187,"AAAAAF9q/qI=")</f>
        <v>#VALUE!</v>
      </c>
      <c r="FH25" t="e">
        <f>AND('2015'!AB187,"AAAAAF9q/qM=")</f>
        <v>#VALUE!</v>
      </c>
      <c r="FI25" t="e">
        <f>AND('2015'!AC187,"AAAAAF9q/qQ=")</f>
        <v>#VALUE!</v>
      </c>
      <c r="FJ25" t="e">
        <f>AND('2015'!AD187,"AAAAAF9q/qU=")</f>
        <v>#VALUE!</v>
      </c>
      <c r="FK25" t="e">
        <f>AND('2015'!AE187,"AAAAAF9q/qY=")</f>
        <v>#VALUE!</v>
      </c>
      <c r="FL25" t="e">
        <f>AND('2015'!AF187,"AAAAAF9q/qc=")</f>
        <v>#VALUE!</v>
      </c>
      <c r="FM25" t="e">
        <f>AND('2015'!AG187,"AAAAAF9q/qg=")</f>
        <v>#VALUE!</v>
      </c>
      <c r="FN25" t="e">
        <f>AND('2015'!AH187,"AAAAAF9q/qk=")</f>
        <v>#VALUE!</v>
      </c>
      <c r="FO25" t="e">
        <f>AND('2015'!AI187,"AAAAAF9q/qo=")</f>
        <v>#VALUE!</v>
      </c>
      <c r="FP25" t="e">
        <f>AND('2015'!AJ187,"AAAAAF9q/qs=")</f>
        <v>#VALUE!</v>
      </c>
      <c r="FQ25" t="e">
        <f>AND('2015'!AK187,"AAAAAF9q/qw=")</f>
        <v>#VALUE!</v>
      </c>
      <c r="FR25" t="e">
        <f>AND('2015'!AL187,"AAAAAF9q/q0=")</f>
        <v>#VALUE!</v>
      </c>
      <c r="FS25" t="e">
        <f>AND('2015'!AM187,"AAAAAF9q/q4=")</f>
        <v>#VALUE!</v>
      </c>
      <c r="FT25" t="e">
        <f>AND('2015'!AN187,"AAAAAF9q/q8=")</f>
        <v>#VALUE!</v>
      </c>
      <c r="FU25" t="e">
        <f>AND('2015'!AO187,"AAAAAF9q/rA=")</f>
        <v>#VALUE!</v>
      </c>
      <c r="FV25" t="e">
        <f>AND('2015'!AP187,"AAAAAF9q/rE=")</f>
        <v>#VALUE!</v>
      </c>
      <c r="FW25" t="e">
        <f>AND('2015'!AQ187,"AAAAAF9q/rI=")</f>
        <v>#VALUE!</v>
      </c>
      <c r="FX25" t="e">
        <f>AND('2015'!AR187,"AAAAAF9q/rM=")</f>
        <v>#VALUE!</v>
      </c>
      <c r="FY25" t="e">
        <f>AND('2015'!AS187,"AAAAAF9q/rQ=")</f>
        <v>#VALUE!</v>
      </c>
      <c r="FZ25" t="e">
        <f>AND('2015'!AT187,"AAAAAF9q/rU=")</f>
        <v>#VALUE!</v>
      </c>
      <c r="GA25" t="e">
        <f>AND('2015'!#REF!,"AAAAAF9q/rY=")</f>
        <v>#REF!</v>
      </c>
      <c r="GB25" t="e">
        <f>AND('2015'!AU187,"AAAAAF9q/rc=")</f>
        <v>#VALUE!</v>
      </c>
      <c r="GC25" t="e">
        <f>AND('2015'!AV187,"AAAAAF9q/rg=")</f>
        <v>#VALUE!</v>
      </c>
      <c r="GD25" t="e">
        <f>AND('2015'!AW187,"AAAAAF9q/rk=")</f>
        <v>#VALUE!</v>
      </c>
      <c r="GE25" t="e">
        <f>AND('2015'!AX187,"AAAAAF9q/ro=")</f>
        <v>#VALUE!</v>
      </c>
      <c r="GF25" t="e">
        <f>AND('2015'!AY187,"AAAAAF9q/rs=")</f>
        <v>#VALUE!</v>
      </c>
      <c r="GG25" t="e">
        <f>AND('2015'!AZ187,"AAAAAF9q/rw=")</f>
        <v>#VALUE!</v>
      </c>
      <c r="GH25" t="e">
        <f>AND('2015'!BA187,"AAAAAF9q/r0=")</f>
        <v>#VALUE!</v>
      </c>
      <c r="GI25" t="e">
        <f>AND('2015'!BB187,"AAAAAF9q/r4=")</f>
        <v>#VALUE!</v>
      </c>
      <c r="GJ25" t="e">
        <f>AND('2015'!BC187,"AAAAAF9q/r8=")</f>
        <v>#VALUE!</v>
      </c>
      <c r="GK25" t="e">
        <f>AND('2015'!BD187,"AAAAAF9q/sA=")</f>
        <v>#VALUE!</v>
      </c>
      <c r="GL25" t="e">
        <f>AND('2015'!BE187,"AAAAAF9q/sE=")</f>
        <v>#VALUE!</v>
      </c>
      <c r="GM25" t="e">
        <f>AND('2015'!BF187,"AAAAAF9q/sI=")</f>
        <v>#VALUE!</v>
      </c>
      <c r="GN25" t="e">
        <f>AND('2015'!BG187,"AAAAAF9q/sM=")</f>
        <v>#VALUE!</v>
      </c>
      <c r="GO25" t="e">
        <f>AND('2015'!BH187,"AAAAAF9q/sQ=")</f>
        <v>#VALUE!</v>
      </c>
      <c r="GP25" t="e">
        <f>AND('2015'!BI187,"AAAAAF9q/sU=")</f>
        <v>#VALUE!</v>
      </c>
      <c r="GQ25" t="e">
        <f>AND('2015'!#REF!,"AAAAAF9q/sY=")</f>
        <v>#REF!</v>
      </c>
      <c r="GR25" t="e">
        <f>AND('2015'!BJ187,"AAAAAF9q/sc=")</f>
        <v>#VALUE!</v>
      </c>
      <c r="GS25" t="e">
        <f>AND('2015'!BK187,"AAAAAF9q/sg=")</f>
        <v>#VALUE!</v>
      </c>
      <c r="GT25" t="e">
        <f>AND('2015'!BL187,"AAAAAF9q/sk=")</f>
        <v>#VALUE!</v>
      </c>
      <c r="GU25" t="e">
        <f>AND('2015'!BM187,"AAAAAF9q/so=")</f>
        <v>#VALUE!</v>
      </c>
      <c r="GV25" t="e">
        <f>AND('2015'!BY187,"AAAAAF9q/ss=")</f>
        <v>#VALUE!</v>
      </c>
      <c r="GW25">
        <f>IF('2015'!105:105,"AAAAAF9q/sw=",0)</f>
        <v>0</v>
      </c>
      <c r="GX25" t="e">
        <f>AND('2015'!A105,"AAAAAF9q/s0=")</f>
        <v>#VALUE!</v>
      </c>
      <c r="GY25" t="e">
        <f>AND('2015'!B105,"AAAAAF9q/s4=")</f>
        <v>#VALUE!</v>
      </c>
      <c r="GZ25" t="e">
        <f>AND('2015'!C105,"AAAAAF9q/s8=")</f>
        <v>#VALUE!</v>
      </c>
      <c r="HA25" t="e">
        <f>AND('2015'!D105,"AAAAAF9q/tA=")</f>
        <v>#VALUE!</v>
      </c>
      <c r="HB25" t="e">
        <f>AND('2015'!E105,"AAAAAF9q/tE=")</f>
        <v>#VALUE!</v>
      </c>
      <c r="HC25" t="e">
        <f>AND('2015'!F105,"AAAAAF9q/tI=")</f>
        <v>#VALUE!</v>
      </c>
      <c r="HD25" t="e">
        <f>AND('2015'!G105,"AAAAAF9q/tM=")</f>
        <v>#VALUE!</v>
      </c>
      <c r="HE25" t="e">
        <f>AND('2015'!H105,"AAAAAF9q/tQ=")</f>
        <v>#VALUE!</v>
      </c>
      <c r="HF25" t="e">
        <f>AND('2015'!I105,"AAAAAF9q/tU=")</f>
        <v>#VALUE!</v>
      </c>
      <c r="HG25" t="e">
        <f>AND('2015'!J105,"AAAAAF9q/tY=")</f>
        <v>#VALUE!</v>
      </c>
      <c r="HH25" t="e">
        <f>AND('2015'!K105,"AAAAAF9q/tc=")</f>
        <v>#VALUE!</v>
      </c>
      <c r="HI25" t="e">
        <f>AND('2015'!L105,"AAAAAF9q/tg=")</f>
        <v>#VALUE!</v>
      </c>
      <c r="HJ25" t="e">
        <f>AND('2015'!M105,"AAAAAF9q/tk=")</f>
        <v>#VALUE!</v>
      </c>
      <c r="HK25" t="e">
        <f>AND('2015'!N105,"AAAAAF9q/to=")</f>
        <v>#VALUE!</v>
      </c>
      <c r="HL25" t="e">
        <f>AND('2015'!O105,"AAAAAF9q/ts=")</f>
        <v>#VALUE!</v>
      </c>
      <c r="HM25" t="e">
        <f>AND('2015'!P105,"AAAAAF9q/tw=")</f>
        <v>#VALUE!</v>
      </c>
      <c r="HN25" t="e">
        <f>AND('2015'!Q105,"AAAAAF9q/t0=")</f>
        <v>#VALUE!</v>
      </c>
      <c r="HO25" t="e">
        <f>AND('2015'!R105,"AAAAAF9q/t4=")</f>
        <v>#VALUE!</v>
      </c>
      <c r="HP25" t="e">
        <f>AND('2015'!S105,"AAAAAF9q/t8=")</f>
        <v>#VALUE!</v>
      </c>
      <c r="HQ25" t="e">
        <f>AND('2015'!T105,"AAAAAF9q/uA=")</f>
        <v>#VALUE!</v>
      </c>
      <c r="HR25" t="e">
        <f>AND('2015'!U105,"AAAAAF9q/uE=")</f>
        <v>#VALUE!</v>
      </c>
      <c r="HS25" t="e">
        <f>AND('2015'!V105,"AAAAAF9q/uI=")</f>
        <v>#VALUE!</v>
      </c>
      <c r="HT25" t="e">
        <f>AND('2015'!W105,"AAAAAF9q/uM=")</f>
        <v>#VALUE!</v>
      </c>
      <c r="HU25" t="e">
        <f>AND('2015'!X105,"AAAAAF9q/uQ=")</f>
        <v>#VALUE!</v>
      </c>
      <c r="HV25" t="e">
        <f>AND('2015'!Y105,"AAAAAF9q/uU=")</f>
        <v>#VALUE!</v>
      </c>
      <c r="HW25" t="e">
        <f>AND('2015'!Z105,"AAAAAF9q/uY=")</f>
        <v>#VALUE!</v>
      </c>
      <c r="HX25" t="e">
        <f>AND('2015'!AA105,"AAAAAF9q/uc=")</f>
        <v>#VALUE!</v>
      </c>
      <c r="HY25" t="e">
        <f>AND('2015'!AB105,"AAAAAF9q/ug=")</f>
        <v>#VALUE!</v>
      </c>
      <c r="HZ25" t="e">
        <f>AND('2015'!AC105,"AAAAAF9q/uk=")</f>
        <v>#VALUE!</v>
      </c>
      <c r="IA25" t="e">
        <f>AND('2015'!AD105,"AAAAAF9q/uo=")</f>
        <v>#VALUE!</v>
      </c>
      <c r="IB25" t="e">
        <f>AND('2015'!AE105,"AAAAAF9q/us=")</f>
        <v>#VALUE!</v>
      </c>
      <c r="IC25" t="e">
        <f>AND('2015'!AF105,"AAAAAF9q/uw=")</f>
        <v>#VALUE!</v>
      </c>
      <c r="ID25" t="e">
        <f>AND('2015'!AG105,"AAAAAF9q/u0=")</f>
        <v>#VALUE!</v>
      </c>
      <c r="IE25" t="e">
        <f>AND('2015'!AH105,"AAAAAF9q/u4=")</f>
        <v>#VALUE!</v>
      </c>
      <c r="IF25" t="e">
        <f>AND('2015'!AI105,"AAAAAF9q/u8=")</f>
        <v>#VALUE!</v>
      </c>
      <c r="IG25" t="e">
        <f>AND('2015'!AJ105,"AAAAAF9q/vA=")</f>
        <v>#VALUE!</v>
      </c>
      <c r="IH25" t="e">
        <f>AND('2015'!AK105,"AAAAAF9q/vE=")</f>
        <v>#VALUE!</v>
      </c>
      <c r="II25" t="e">
        <f>AND('2015'!AL105,"AAAAAF9q/vI=")</f>
        <v>#VALUE!</v>
      </c>
      <c r="IJ25" t="e">
        <f>AND('2015'!AM105,"AAAAAF9q/vM=")</f>
        <v>#VALUE!</v>
      </c>
      <c r="IK25" t="e">
        <f>AND('2015'!AN105,"AAAAAF9q/vQ=")</f>
        <v>#VALUE!</v>
      </c>
      <c r="IL25" t="e">
        <f>AND('2015'!AO105,"AAAAAF9q/vU=")</f>
        <v>#VALUE!</v>
      </c>
      <c r="IM25" t="e">
        <f>AND('2015'!AP105,"AAAAAF9q/vY=")</f>
        <v>#VALUE!</v>
      </c>
      <c r="IN25" t="e">
        <f>AND('2015'!AQ105,"AAAAAF9q/vc=")</f>
        <v>#VALUE!</v>
      </c>
      <c r="IO25" t="e">
        <f>AND('2015'!AR105,"AAAAAF9q/vg=")</f>
        <v>#VALUE!</v>
      </c>
      <c r="IP25" t="e">
        <f>AND('2015'!AS105,"AAAAAF9q/vk=")</f>
        <v>#VALUE!</v>
      </c>
      <c r="IQ25" t="e">
        <f>AND('2015'!AT105,"AAAAAF9q/vo=")</f>
        <v>#VALUE!</v>
      </c>
      <c r="IR25" t="e">
        <f>AND('2015'!#REF!,"AAAAAF9q/vs=")</f>
        <v>#REF!</v>
      </c>
      <c r="IS25" t="e">
        <f>AND('2015'!AU105,"AAAAAF9q/vw=")</f>
        <v>#VALUE!</v>
      </c>
      <c r="IT25" t="e">
        <f>AND('2015'!AV105,"AAAAAF9q/v0=")</f>
        <v>#VALUE!</v>
      </c>
      <c r="IU25" t="e">
        <f>AND('2015'!AW105,"AAAAAF9q/v4=")</f>
        <v>#VALUE!</v>
      </c>
      <c r="IV25" t="e">
        <f>AND('2015'!AX105,"AAAAAF9q/v8=")</f>
        <v>#VALUE!</v>
      </c>
    </row>
    <row r="26" spans="1:256" x14ac:dyDescent="0.25">
      <c r="A26" t="e">
        <f>AND('2015'!AY105,"AAAAACv//QA=")</f>
        <v>#VALUE!</v>
      </c>
      <c r="B26" t="e">
        <f>AND('2015'!AZ105,"AAAAACv//QE=")</f>
        <v>#VALUE!</v>
      </c>
      <c r="C26" t="e">
        <f>AND('2015'!BA105,"AAAAACv//QI=")</f>
        <v>#VALUE!</v>
      </c>
      <c r="D26" t="e">
        <f>AND('2015'!BB105,"AAAAACv//QM=")</f>
        <v>#VALUE!</v>
      </c>
      <c r="E26" t="e">
        <f>AND('2015'!BC105,"AAAAACv//QQ=")</f>
        <v>#VALUE!</v>
      </c>
      <c r="F26" t="e">
        <f>AND('2015'!BD105,"AAAAACv//QU=")</f>
        <v>#VALUE!</v>
      </c>
      <c r="G26" t="e">
        <f>AND('2015'!BE105,"AAAAACv//QY=")</f>
        <v>#VALUE!</v>
      </c>
      <c r="H26" t="e">
        <f>AND('2015'!BF105,"AAAAACv//Qc=")</f>
        <v>#VALUE!</v>
      </c>
      <c r="I26" t="e">
        <f>AND('2015'!BG105,"AAAAACv//Qg=")</f>
        <v>#VALUE!</v>
      </c>
      <c r="J26" t="e">
        <f>AND('2015'!BH105,"AAAAACv//Qk=")</f>
        <v>#VALUE!</v>
      </c>
      <c r="K26" t="e">
        <f>AND('2015'!BI105,"AAAAACv//Qo=")</f>
        <v>#VALUE!</v>
      </c>
      <c r="L26" t="e">
        <f>AND('2015'!#REF!,"AAAAACv//Qs=")</f>
        <v>#REF!</v>
      </c>
      <c r="M26" t="e">
        <f>AND('2015'!BJ105,"AAAAACv//Qw=")</f>
        <v>#VALUE!</v>
      </c>
      <c r="N26" t="e">
        <f>AND('2015'!BK105,"AAAAACv//Q0=")</f>
        <v>#VALUE!</v>
      </c>
      <c r="O26" t="e">
        <f>AND('2015'!BL105,"AAAAACv//Q4=")</f>
        <v>#VALUE!</v>
      </c>
      <c r="P26" t="e">
        <f>AND('2015'!BM105,"AAAAACv//Q8=")</f>
        <v>#VALUE!</v>
      </c>
      <c r="Q26" t="e">
        <f>AND('2015'!BY105,"AAAAACv//RA=")</f>
        <v>#VALUE!</v>
      </c>
      <c r="R26">
        <f>IF('2015'!106:106,"AAAAACv//RE=",0)</f>
        <v>0</v>
      </c>
      <c r="S26" t="e">
        <f>AND('2015'!A106,"AAAAACv//RI=")</f>
        <v>#VALUE!</v>
      </c>
      <c r="T26" t="e">
        <f>AND('2015'!B106,"AAAAACv//RM=")</f>
        <v>#VALUE!</v>
      </c>
      <c r="U26" t="e">
        <f>AND('2015'!C106,"AAAAACv//RQ=")</f>
        <v>#VALUE!</v>
      </c>
      <c r="V26" t="e">
        <f>AND('2015'!D106,"AAAAACv//RU=")</f>
        <v>#VALUE!</v>
      </c>
      <c r="W26" t="e">
        <f>AND('2015'!E106,"AAAAACv//RY=")</f>
        <v>#VALUE!</v>
      </c>
      <c r="X26" t="e">
        <f>AND('2015'!F106,"AAAAACv//Rc=")</f>
        <v>#VALUE!</v>
      </c>
      <c r="Y26" t="e">
        <f>AND('2015'!G106,"AAAAACv//Rg=")</f>
        <v>#VALUE!</v>
      </c>
      <c r="Z26" t="e">
        <f>AND('2015'!H106,"AAAAACv//Rk=")</f>
        <v>#VALUE!</v>
      </c>
      <c r="AA26" t="e">
        <f>AND('2015'!I106,"AAAAACv//Ro=")</f>
        <v>#VALUE!</v>
      </c>
      <c r="AB26" t="e">
        <f>AND('2015'!J106,"AAAAACv//Rs=")</f>
        <v>#VALUE!</v>
      </c>
      <c r="AC26" t="e">
        <f>AND('2015'!K106,"AAAAACv//Rw=")</f>
        <v>#VALUE!</v>
      </c>
      <c r="AD26" t="e">
        <f>AND('2015'!L106,"AAAAACv//R0=")</f>
        <v>#VALUE!</v>
      </c>
      <c r="AE26" t="e">
        <f>AND('2015'!M106,"AAAAACv//R4=")</f>
        <v>#VALUE!</v>
      </c>
      <c r="AF26" t="e">
        <f>AND('2015'!N106,"AAAAACv//R8=")</f>
        <v>#VALUE!</v>
      </c>
      <c r="AG26" t="e">
        <f>AND('2015'!O106,"AAAAACv//SA=")</f>
        <v>#VALUE!</v>
      </c>
      <c r="AH26" t="e">
        <f>AND('2015'!P106,"AAAAACv//SE=")</f>
        <v>#VALUE!</v>
      </c>
      <c r="AI26" t="e">
        <f>AND('2015'!Q106,"AAAAACv//SI=")</f>
        <v>#VALUE!</v>
      </c>
      <c r="AJ26" t="e">
        <f>AND('2015'!R106,"AAAAACv//SM=")</f>
        <v>#VALUE!</v>
      </c>
      <c r="AK26" t="e">
        <f>AND('2015'!S106,"AAAAACv//SQ=")</f>
        <v>#VALUE!</v>
      </c>
      <c r="AL26" t="e">
        <f>AND('2015'!T106,"AAAAACv//SU=")</f>
        <v>#VALUE!</v>
      </c>
      <c r="AM26" t="e">
        <f>AND('2015'!U106,"AAAAACv//SY=")</f>
        <v>#VALUE!</v>
      </c>
      <c r="AN26" t="e">
        <f>AND('2015'!V106,"AAAAACv//Sc=")</f>
        <v>#VALUE!</v>
      </c>
      <c r="AO26" t="e">
        <f>AND('2015'!W106,"AAAAACv//Sg=")</f>
        <v>#VALUE!</v>
      </c>
      <c r="AP26" t="e">
        <f>AND('2015'!X106,"AAAAACv//Sk=")</f>
        <v>#VALUE!</v>
      </c>
      <c r="AQ26" t="e">
        <f>AND('2015'!Y106,"AAAAACv//So=")</f>
        <v>#VALUE!</v>
      </c>
      <c r="AR26" t="e">
        <f>AND('2015'!Z106,"AAAAACv//Ss=")</f>
        <v>#VALUE!</v>
      </c>
      <c r="AS26" t="e">
        <f>AND('2015'!AA106,"AAAAACv//Sw=")</f>
        <v>#VALUE!</v>
      </c>
      <c r="AT26" t="e">
        <f>AND('2015'!AB106,"AAAAACv//S0=")</f>
        <v>#VALUE!</v>
      </c>
      <c r="AU26" t="e">
        <f>AND('2015'!AC106,"AAAAACv//S4=")</f>
        <v>#VALUE!</v>
      </c>
      <c r="AV26" t="e">
        <f>AND('2015'!AD106,"AAAAACv//S8=")</f>
        <v>#VALUE!</v>
      </c>
      <c r="AW26" t="e">
        <f>AND('2015'!AE106,"AAAAACv//TA=")</f>
        <v>#VALUE!</v>
      </c>
      <c r="AX26" t="e">
        <f>AND('2015'!AF106,"AAAAACv//TE=")</f>
        <v>#VALUE!</v>
      </c>
      <c r="AY26" t="e">
        <f>AND('2015'!AG106,"AAAAACv//TI=")</f>
        <v>#VALUE!</v>
      </c>
      <c r="AZ26" t="e">
        <f>AND('2015'!AH106,"AAAAACv//TM=")</f>
        <v>#VALUE!</v>
      </c>
      <c r="BA26" t="e">
        <f>AND('2015'!AI106,"AAAAACv//TQ=")</f>
        <v>#VALUE!</v>
      </c>
      <c r="BB26" t="e">
        <f>AND('2015'!AJ106,"AAAAACv//TU=")</f>
        <v>#VALUE!</v>
      </c>
      <c r="BC26" t="e">
        <f>AND('2015'!AK106,"AAAAACv//TY=")</f>
        <v>#VALUE!</v>
      </c>
      <c r="BD26" t="e">
        <f>AND('2015'!AL106,"AAAAACv//Tc=")</f>
        <v>#VALUE!</v>
      </c>
      <c r="BE26" t="e">
        <f>AND('2015'!AM106,"AAAAACv//Tg=")</f>
        <v>#VALUE!</v>
      </c>
      <c r="BF26" t="e">
        <f>AND('2015'!AN106,"AAAAACv//Tk=")</f>
        <v>#VALUE!</v>
      </c>
      <c r="BG26" t="e">
        <f>AND('2015'!AO106,"AAAAACv//To=")</f>
        <v>#VALUE!</v>
      </c>
      <c r="BH26" t="e">
        <f>AND('2015'!AP106,"AAAAACv//Ts=")</f>
        <v>#VALUE!</v>
      </c>
      <c r="BI26" t="e">
        <f>AND('2015'!AQ106,"AAAAACv//Tw=")</f>
        <v>#VALUE!</v>
      </c>
      <c r="BJ26" t="e">
        <f>AND('2015'!AR106,"AAAAACv//T0=")</f>
        <v>#VALUE!</v>
      </c>
      <c r="BK26" t="e">
        <f>AND('2015'!AS106,"AAAAACv//T4=")</f>
        <v>#VALUE!</v>
      </c>
      <c r="BL26" t="e">
        <f>AND('2015'!AT106,"AAAAACv//T8=")</f>
        <v>#VALUE!</v>
      </c>
      <c r="BM26" t="e">
        <f>AND('2015'!#REF!,"AAAAACv//UA=")</f>
        <v>#REF!</v>
      </c>
      <c r="BN26" t="e">
        <f>AND('2015'!AU106,"AAAAACv//UE=")</f>
        <v>#VALUE!</v>
      </c>
      <c r="BO26" t="e">
        <f>AND('2015'!AV106,"AAAAACv//UI=")</f>
        <v>#VALUE!</v>
      </c>
      <c r="BP26" t="e">
        <f>AND('2015'!AW106,"AAAAACv//UM=")</f>
        <v>#VALUE!</v>
      </c>
      <c r="BQ26" t="e">
        <f>AND('2015'!AX106,"AAAAACv//UQ=")</f>
        <v>#VALUE!</v>
      </c>
      <c r="BR26" t="e">
        <f>AND('2015'!AY106,"AAAAACv//UU=")</f>
        <v>#VALUE!</v>
      </c>
      <c r="BS26" t="e">
        <f>AND('2015'!AZ106,"AAAAACv//UY=")</f>
        <v>#VALUE!</v>
      </c>
      <c r="BT26" t="e">
        <f>AND('2015'!BA106,"AAAAACv//Uc=")</f>
        <v>#VALUE!</v>
      </c>
      <c r="BU26" t="e">
        <f>AND('2015'!BB106,"AAAAACv//Ug=")</f>
        <v>#VALUE!</v>
      </c>
      <c r="BV26" t="e">
        <f>AND('2015'!BC106,"AAAAACv//Uk=")</f>
        <v>#VALUE!</v>
      </c>
      <c r="BW26" t="e">
        <f>AND('2015'!BD106,"AAAAACv//Uo=")</f>
        <v>#VALUE!</v>
      </c>
      <c r="BX26" t="e">
        <f>AND('2015'!BE106,"AAAAACv//Us=")</f>
        <v>#VALUE!</v>
      </c>
      <c r="BY26" t="e">
        <f>AND('2015'!BF106,"AAAAACv//Uw=")</f>
        <v>#VALUE!</v>
      </c>
      <c r="BZ26" t="e">
        <f>AND('2015'!BG106,"AAAAACv//U0=")</f>
        <v>#VALUE!</v>
      </c>
      <c r="CA26" t="e">
        <f>AND('2015'!BH106,"AAAAACv//U4=")</f>
        <v>#VALUE!</v>
      </c>
      <c r="CB26" t="e">
        <f>AND('2015'!BI106,"AAAAACv//U8=")</f>
        <v>#VALUE!</v>
      </c>
      <c r="CC26" t="e">
        <f>AND('2015'!#REF!,"AAAAACv//VA=")</f>
        <v>#REF!</v>
      </c>
      <c r="CD26" t="e">
        <f>AND('2015'!BJ106,"AAAAACv//VE=")</f>
        <v>#VALUE!</v>
      </c>
      <c r="CE26" t="e">
        <f>AND('2015'!BK106,"AAAAACv//VI=")</f>
        <v>#VALUE!</v>
      </c>
      <c r="CF26" t="e">
        <f>AND('2015'!BL106,"AAAAACv//VM=")</f>
        <v>#VALUE!</v>
      </c>
      <c r="CG26" t="e">
        <f>AND('2015'!BM106,"AAAAACv//VQ=")</f>
        <v>#VALUE!</v>
      </c>
      <c r="CH26" t="e">
        <f>AND('2015'!BY106,"AAAAACv//VU=")</f>
        <v>#VALUE!</v>
      </c>
      <c r="CI26">
        <f>IF('2015'!107:107,"AAAAACv//VY=",0)</f>
        <v>0</v>
      </c>
      <c r="CJ26" t="e">
        <f>AND('2015'!A107,"AAAAACv//Vc=")</f>
        <v>#VALUE!</v>
      </c>
      <c r="CK26" t="e">
        <f>AND('2015'!B107,"AAAAACv//Vg=")</f>
        <v>#VALUE!</v>
      </c>
      <c r="CL26" t="e">
        <f>AND('2015'!C107,"AAAAACv//Vk=")</f>
        <v>#VALUE!</v>
      </c>
      <c r="CM26" t="e">
        <f>AND('2015'!D107,"AAAAACv//Vo=")</f>
        <v>#VALUE!</v>
      </c>
      <c r="CN26" t="e">
        <f>AND('2015'!E107,"AAAAACv//Vs=")</f>
        <v>#VALUE!</v>
      </c>
      <c r="CO26" t="e">
        <f>AND('2015'!F107,"AAAAACv//Vw=")</f>
        <v>#VALUE!</v>
      </c>
      <c r="CP26" t="e">
        <f>AND('2015'!G107,"AAAAACv//V0=")</f>
        <v>#VALUE!</v>
      </c>
      <c r="CQ26" t="e">
        <f>AND('2015'!H107,"AAAAACv//V4=")</f>
        <v>#VALUE!</v>
      </c>
      <c r="CR26" t="e">
        <f>AND('2015'!I107,"AAAAACv//V8=")</f>
        <v>#VALUE!</v>
      </c>
      <c r="CS26" t="e">
        <f>AND('2015'!J107,"AAAAACv//WA=")</f>
        <v>#VALUE!</v>
      </c>
      <c r="CT26" t="e">
        <f>AND('2015'!K107,"AAAAACv//WE=")</f>
        <v>#VALUE!</v>
      </c>
      <c r="CU26" t="e">
        <f>AND('2015'!L107,"AAAAACv//WI=")</f>
        <v>#VALUE!</v>
      </c>
      <c r="CV26" t="e">
        <f>AND('2015'!M107,"AAAAACv//WM=")</f>
        <v>#VALUE!</v>
      </c>
      <c r="CW26" t="e">
        <f>AND('2015'!N107,"AAAAACv//WQ=")</f>
        <v>#VALUE!</v>
      </c>
      <c r="CX26" t="e">
        <f>AND('2015'!O107,"AAAAACv//WU=")</f>
        <v>#VALUE!</v>
      </c>
      <c r="CY26" t="e">
        <f>AND('2015'!P107,"AAAAACv//WY=")</f>
        <v>#VALUE!</v>
      </c>
      <c r="CZ26" t="e">
        <f>AND('2015'!Q107,"AAAAACv//Wc=")</f>
        <v>#VALUE!</v>
      </c>
      <c r="DA26" t="e">
        <f>AND('2015'!R107,"AAAAACv//Wg=")</f>
        <v>#VALUE!</v>
      </c>
      <c r="DB26" t="e">
        <f>AND('2015'!S107,"AAAAACv//Wk=")</f>
        <v>#VALUE!</v>
      </c>
      <c r="DC26" t="e">
        <f>AND('2015'!T107,"AAAAACv//Wo=")</f>
        <v>#VALUE!</v>
      </c>
      <c r="DD26" t="e">
        <f>AND('2015'!U107,"AAAAACv//Ws=")</f>
        <v>#VALUE!</v>
      </c>
      <c r="DE26" t="e">
        <f>AND('2015'!V107,"AAAAACv//Ww=")</f>
        <v>#VALUE!</v>
      </c>
      <c r="DF26" t="e">
        <f>AND('2015'!W107,"AAAAACv//W0=")</f>
        <v>#VALUE!</v>
      </c>
      <c r="DG26" t="e">
        <f>AND('2015'!X107,"AAAAACv//W4=")</f>
        <v>#VALUE!</v>
      </c>
      <c r="DH26" t="e">
        <f>AND('2015'!Y107,"AAAAACv//W8=")</f>
        <v>#VALUE!</v>
      </c>
      <c r="DI26" t="e">
        <f>AND('2015'!Z107,"AAAAACv//XA=")</f>
        <v>#VALUE!</v>
      </c>
      <c r="DJ26" t="e">
        <f>AND('2015'!AA107,"AAAAACv//XE=")</f>
        <v>#VALUE!</v>
      </c>
      <c r="DK26" t="e">
        <f>AND('2015'!AB107,"AAAAACv//XI=")</f>
        <v>#VALUE!</v>
      </c>
      <c r="DL26" t="e">
        <f>AND('2015'!AC107,"AAAAACv//XM=")</f>
        <v>#VALUE!</v>
      </c>
      <c r="DM26" t="e">
        <f>AND('2015'!AD107,"AAAAACv//XQ=")</f>
        <v>#VALUE!</v>
      </c>
      <c r="DN26" t="e">
        <f>AND('2015'!AE107,"AAAAACv//XU=")</f>
        <v>#VALUE!</v>
      </c>
      <c r="DO26" t="e">
        <f>AND('2015'!AF107,"AAAAACv//XY=")</f>
        <v>#VALUE!</v>
      </c>
      <c r="DP26" t="e">
        <f>AND('2015'!AG107,"AAAAACv//Xc=")</f>
        <v>#VALUE!</v>
      </c>
      <c r="DQ26" t="e">
        <f>AND('2015'!AH107,"AAAAACv//Xg=")</f>
        <v>#VALUE!</v>
      </c>
      <c r="DR26" t="e">
        <f>AND('2015'!AI107,"AAAAACv//Xk=")</f>
        <v>#VALUE!</v>
      </c>
      <c r="DS26" t="e">
        <f>AND('2015'!AJ107,"AAAAACv//Xo=")</f>
        <v>#VALUE!</v>
      </c>
      <c r="DT26" t="e">
        <f>AND('2015'!AK107,"AAAAACv//Xs=")</f>
        <v>#VALUE!</v>
      </c>
      <c r="DU26" t="e">
        <f>AND('2015'!AL107,"AAAAACv//Xw=")</f>
        <v>#VALUE!</v>
      </c>
      <c r="DV26" t="e">
        <f>AND('2015'!AM107,"AAAAACv//X0=")</f>
        <v>#VALUE!</v>
      </c>
      <c r="DW26" t="e">
        <f>AND('2015'!AN107,"AAAAACv//X4=")</f>
        <v>#VALUE!</v>
      </c>
      <c r="DX26" t="e">
        <f>AND('2015'!AO107,"AAAAACv//X8=")</f>
        <v>#VALUE!</v>
      </c>
      <c r="DY26" t="e">
        <f>AND('2015'!AP107,"AAAAACv//YA=")</f>
        <v>#VALUE!</v>
      </c>
      <c r="DZ26" t="e">
        <f>AND('2015'!AQ107,"AAAAACv//YE=")</f>
        <v>#VALUE!</v>
      </c>
      <c r="EA26" t="e">
        <f>AND('2015'!AR107,"AAAAACv//YI=")</f>
        <v>#VALUE!</v>
      </c>
      <c r="EB26" t="e">
        <f>AND('2015'!AS107,"AAAAACv//YM=")</f>
        <v>#VALUE!</v>
      </c>
      <c r="EC26" t="e">
        <f>AND('2015'!AT107,"AAAAACv//YQ=")</f>
        <v>#VALUE!</v>
      </c>
      <c r="ED26" t="e">
        <f>AND('2015'!#REF!,"AAAAACv//YU=")</f>
        <v>#REF!</v>
      </c>
      <c r="EE26" t="e">
        <f>AND('2015'!AU107,"AAAAACv//YY=")</f>
        <v>#VALUE!</v>
      </c>
      <c r="EF26" t="e">
        <f>AND('2015'!AV107,"AAAAACv//Yc=")</f>
        <v>#VALUE!</v>
      </c>
      <c r="EG26" t="e">
        <f>AND('2015'!AW107,"AAAAACv//Yg=")</f>
        <v>#VALUE!</v>
      </c>
      <c r="EH26" t="e">
        <f>AND('2015'!AX107,"AAAAACv//Yk=")</f>
        <v>#VALUE!</v>
      </c>
      <c r="EI26" t="e">
        <f>AND('2015'!AY107,"AAAAACv//Yo=")</f>
        <v>#VALUE!</v>
      </c>
      <c r="EJ26" t="e">
        <f>AND('2015'!AZ107,"AAAAACv//Ys=")</f>
        <v>#VALUE!</v>
      </c>
      <c r="EK26" t="e">
        <f>AND('2015'!BA107,"AAAAACv//Yw=")</f>
        <v>#VALUE!</v>
      </c>
      <c r="EL26" t="e">
        <f>AND('2015'!BB107,"AAAAACv//Y0=")</f>
        <v>#VALUE!</v>
      </c>
      <c r="EM26" t="e">
        <f>AND('2015'!BC107,"AAAAACv//Y4=")</f>
        <v>#VALUE!</v>
      </c>
      <c r="EN26" t="e">
        <f>AND('2015'!BD107,"AAAAACv//Y8=")</f>
        <v>#VALUE!</v>
      </c>
      <c r="EO26" t="e">
        <f>AND('2015'!BE107,"AAAAACv//ZA=")</f>
        <v>#VALUE!</v>
      </c>
      <c r="EP26" t="e">
        <f>AND('2015'!BF107,"AAAAACv//ZE=")</f>
        <v>#VALUE!</v>
      </c>
      <c r="EQ26" t="e">
        <f>AND('2015'!BG107,"AAAAACv//ZI=")</f>
        <v>#VALUE!</v>
      </c>
      <c r="ER26" t="e">
        <f>AND('2015'!BH107,"AAAAACv//ZM=")</f>
        <v>#VALUE!</v>
      </c>
      <c r="ES26" t="e">
        <f>AND('2015'!BI107,"AAAAACv//ZQ=")</f>
        <v>#VALUE!</v>
      </c>
      <c r="ET26" t="e">
        <f>AND('2015'!#REF!,"AAAAACv//ZU=")</f>
        <v>#REF!</v>
      </c>
      <c r="EU26" t="e">
        <f>AND('2015'!BJ107,"AAAAACv//ZY=")</f>
        <v>#VALUE!</v>
      </c>
      <c r="EV26" t="e">
        <f>AND('2015'!BK107,"AAAAACv//Zc=")</f>
        <v>#VALUE!</v>
      </c>
      <c r="EW26" t="e">
        <f>AND('2015'!BL107,"AAAAACv//Zg=")</f>
        <v>#VALUE!</v>
      </c>
      <c r="EX26" t="e">
        <f>AND('2015'!BM107,"AAAAACv//Zk=")</f>
        <v>#VALUE!</v>
      </c>
      <c r="EY26" t="e">
        <f>AND('2015'!BY107,"AAAAACv//Zo=")</f>
        <v>#VALUE!</v>
      </c>
      <c r="EZ26">
        <f>IF('2015'!108:108,"AAAAACv//Zs=",0)</f>
        <v>0</v>
      </c>
      <c r="FA26" t="e">
        <f>AND('2015'!A108,"AAAAACv//Zw=")</f>
        <v>#VALUE!</v>
      </c>
      <c r="FB26" t="e">
        <f>AND('2015'!B108,"AAAAACv//Z0=")</f>
        <v>#VALUE!</v>
      </c>
      <c r="FC26" t="e">
        <f>AND('2015'!C108,"AAAAACv//Z4=")</f>
        <v>#VALUE!</v>
      </c>
      <c r="FD26" t="e">
        <f>AND('2015'!D108,"AAAAACv//Z8=")</f>
        <v>#VALUE!</v>
      </c>
      <c r="FE26" t="e">
        <f>AND('2015'!E108,"AAAAACv//aA=")</f>
        <v>#VALUE!</v>
      </c>
      <c r="FF26" t="e">
        <f>AND('2015'!F108,"AAAAACv//aE=")</f>
        <v>#VALUE!</v>
      </c>
      <c r="FG26" t="e">
        <f>AND('2015'!G108,"AAAAACv//aI=")</f>
        <v>#VALUE!</v>
      </c>
      <c r="FH26" t="e">
        <f>AND('2015'!H108,"AAAAACv//aM=")</f>
        <v>#VALUE!</v>
      </c>
      <c r="FI26" t="e">
        <f>AND('2015'!I108,"AAAAACv//aQ=")</f>
        <v>#VALUE!</v>
      </c>
      <c r="FJ26" t="e">
        <f>AND('2015'!J108,"AAAAACv//aU=")</f>
        <v>#VALUE!</v>
      </c>
      <c r="FK26" t="e">
        <f>AND('2015'!K108,"AAAAACv//aY=")</f>
        <v>#VALUE!</v>
      </c>
      <c r="FL26" t="e">
        <f>AND('2015'!L108,"AAAAACv//ac=")</f>
        <v>#VALUE!</v>
      </c>
      <c r="FM26" t="e">
        <f>AND('2015'!M108,"AAAAACv//ag=")</f>
        <v>#VALUE!</v>
      </c>
      <c r="FN26" t="e">
        <f>AND('2015'!N108,"AAAAACv//ak=")</f>
        <v>#VALUE!</v>
      </c>
      <c r="FO26" t="e">
        <f>AND('2015'!O108,"AAAAACv//ao=")</f>
        <v>#VALUE!</v>
      </c>
      <c r="FP26" t="e">
        <f>AND('2015'!P108,"AAAAACv//as=")</f>
        <v>#VALUE!</v>
      </c>
      <c r="FQ26" t="e">
        <f>AND('2015'!Q108,"AAAAACv//aw=")</f>
        <v>#VALUE!</v>
      </c>
      <c r="FR26" t="e">
        <f>AND('2015'!R108,"AAAAACv//a0=")</f>
        <v>#VALUE!</v>
      </c>
      <c r="FS26" t="e">
        <f>AND('2015'!S108,"AAAAACv//a4=")</f>
        <v>#VALUE!</v>
      </c>
      <c r="FT26" t="e">
        <f>AND('2015'!T108,"AAAAACv//a8=")</f>
        <v>#VALUE!</v>
      </c>
      <c r="FU26" t="e">
        <f>AND('2015'!U108,"AAAAACv//bA=")</f>
        <v>#VALUE!</v>
      </c>
      <c r="FV26" t="e">
        <f>AND('2015'!V108,"AAAAACv//bE=")</f>
        <v>#VALUE!</v>
      </c>
      <c r="FW26" t="e">
        <f>AND('2015'!W108,"AAAAACv//bI=")</f>
        <v>#VALUE!</v>
      </c>
      <c r="FX26" t="e">
        <f>AND('2015'!X108,"AAAAACv//bM=")</f>
        <v>#VALUE!</v>
      </c>
      <c r="FY26" t="e">
        <f>AND('2015'!Y108,"AAAAACv//bQ=")</f>
        <v>#VALUE!</v>
      </c>
      <c r="FZ26" t="e">
        <f>AND('2015'!Z108,"AAAAACv//bU=")</f>
        <v>#VALUE!</v>
      </c>
      <c r="GA26" t="e">
        <f>AND('2015'!AA108,"AAAAACv//bY=")</f>
        <v>#VALUE!</v>
      </c>
      <c r="GB26" t="e">
        <f>AND('2015'!AB108,"AAAAACv//bc=")</f>
        <v>#VALUE!</v>
      </c>
      <c r="GC26" t="e">
        <f>AND('2015'!AC108,"AAAAACv//bg=")</f>
        <v>#VALUE!</v>
      </c>
      <c r="GD26" t="e">
        <f>AND('2015'!AD108,"AAAAACv//bk=")</f>
        <v>#VALUE!</v>
      </c>
      <c r="GE26" t="e">
        <f>AND('2015'!AE108,"AAAAACv//bo=")</f>
        <v>#VALUE!</v>
      </c>
      <c r="GF26" t="e">
        <f>AND('2015'!AF108,"AAAAACv//bs=")</f>
        <v>#VALUE!</v>
      </c>
      <c r="GG26" t="e">
        <f>AND('2015'!AG108,"AAAAACv//bw=")</f>
        <v>#VALUE!</v>
      </c>
      <c r="GH26" t="e">
        <f>AND('2015'!AH108,"AAAAACv//b0=")</f>
        <v>#VALUE!</v>
      </c>
      <c r="GI26" t="e">
        <f>AND('2015'!AI108,"AAAAACv//b4=")</f>
        <v>#VALUE!</v>
      </c>
      <c r="GJ26" t="e">
        <f>AND('2015'!AJ108,"AAAAACv//b8=")</f>
        <v>#VALUE!</v>
      </c>
      <c r="GK26" t="e">
        <f>AND('2015'!AK108,"AAAAACv//cA=")</f>
        <v>#VALUE!</v>
      </c>
      <c r="GL26" t="e">
        <f>AND('2015'!AL108,"AAAAACv//cE=")</f>
        <v>#VALUE!</v>
      </c>
      <c r="GM26" t="e">
        <f>AND('2015'!AM108,"AAAAACv//cI=")</f>
        <v>#VALUE!</v>
      </c>
      <c r="GN26" t="e">
        <f>AND('2015'!AN108,"AAAAACv//cM=")</f>
        <v>#VALUE!</v>
      </c>
      <c r="GO26" t="e">
        <f>AND('2015'!AO108,"AAAAACv//cQ=")</f>
        <v>#VALUE!</v>
      </c>
      <c r="GP26" t="e">
        <f>AND('2015'!AP108,"AAAAACv//cU=")</f>
        <v>#VALUE!</v>
      </c>
      <c r="GQ26" t="e">
        <f>AND('2015'!AQ108,"AAAAACv//cY=")</f>
        <v>#VALUE!</v>
      </c>
      <c r="GR26" t="e">
        <f>AND('2015'!AR108,"AAAAACv//cc=")</f>
        <v>#VALUE!</v>
      </c>
      <c r="GS26" t="e">
        <f>AND('2015'!AS108,"AAAAACv//cg=")</f>
        <v>#VALUE!</v>
      </c>
      <c r="GT26" t="e">
        <f>AND('2015'!AT108,"AAAAACv//ck=")</f>
        <v>#VALUE!</v>
      </c>
      <c r="GU26" t="e">
        <f>AND('2015'!#REF!,"AAAAACv//co=")</f>
        <v>#REF!</v>
      </c>
      <c r="GV26" t="e">
        <f>AND('2015'!AU108,"AAAAACv//cs=")</f>
        <v>#VALUE!</v>
      </c>
      <c r="GW26" t="e">
        <f>AND('2015'!AV108,"AAAAACv//cw=")</f>
        <v>#VALUE!</v>
      </c>
      <c r="GX26" t="e">
        <f>AND('2015'!AW108,"AAAAACv//c0=")</f>
        <v>#VALUE!</v>
      </c>
      <c r="GY26" t="e">
        <f>AND('2015'!AX108,"AAAAACv//c4=")</f>
        <v>#VALUE!</v>
      </c>
      <c r="GZ26" t="e">
        <f>AND('2015'!AY108,"AAAAACv//c8=")</f>
        <v>#VALUE!</v>
      </c>
      <c r="HA26" t="e">
        <f>AND('2015'!AZ108,"AAAAACv//dA=")</f>
        <v>#VALUE!</v>
      </c>
      <c r="HB26" t="e">
        <f>AND('2015'!BA108,"AAAAACv//dE=")</f>
        <v>#VALUE!</v>
      </c>
      <c r="HC26" t="e">
        <f>AND('2015'!BB108,"AAAAACv//dI=")</f>
        <v>#VALUE!</v>
      </c>
      <c r="HD26" t="e">
        <f>AND('2015'!BC108,"AAAAACv//dM=")</f>
        <v>#VALUE!</v>
      </c>
      <c r="HE26" t="e">
        <f>AND('2015'!BD108,"AAAAACv//dQ=")</f>
        <v>#VALUE!</v>
      </c>
      <c r="HF26" t="e">
        <f>AND('2015'!BE108,"AAAAACv//dU=")</f>
        <v>#VALUE!</v>
      </c>
      <c r="HG26" t="e">
        <f>AND('2015'!BF108,"AAAAACv//dY=")</f>
        <v>#VALUE!</v>
      </c>
      <c r="HH26" t="e">
        <f>AND('2015'!BG108,"AAAAACv//dc=")</f>
        <v>#VALUE!</v>
      </c>
      <c r="HI26" t="e">
        <f>AND('2015'!BH108,"AAAAACv//dg=")</f>
        <v>#VALUE!</v>
      </c>
      <c r="HJ26" t="e">
        <f>AND('2015'!BI108,"AAAAACv//dk=")</f>
        <v>#VALUE!</v>
      </c>
      <c r="HK26" t="e">
        <f>AND('2015'!#REF!,"AAAAACv//do=")</f>
        <v>#REF!</v>
      </c>
      <c r="HL26" t="e">
        <f>AND('2015'!BJ108,"AAAAACv//ds=")</f>
        <v>#VALUE!</v>
      </c>
      <c r="HM26" t="e">
        <f>AND('2015'!BK108,"AAAAACv//dw=")</f>
        <v>#VALUE!</v>
      </c>
      <c r="HN26" t="e">
        <f>AND('2015'!BL108,"AAAAACv//d0=")</f>
        <v>#VALUE!</v>
      </c>
      <c r="HO26" t="e">
        <f>AND('2015'!BM108,"AAAAACv//d4=")</f>
        <v>#VALUE!</v>
      </c>
      <c r="HP26" t="e">
        <f>AND('2015'!BY108,"AAAAACv//d8=")</f>
        <v>#VALUE!</v>
      </c>
      <c r="HQ26">
        <f>IF('2015'!109:109,"AAAAACv//eA=",0)</f>
        <v>0</v>
      </c>
      <c r="HR26" t="e">
        <f>AND('2015'!A109,"AAAAACv//eE=")</f>
        <v>#VALUE!</v>
      </c>
      <c r="HS26" t="e">
        <f>AND('2015'!B109,"AAAAACv//eI=")</f>
        <v>#VALUE!</v>
      </c>
      <c r="HT26" t="e">
        <f>AND('2015'!C109,"AAAAACv//eM=")</f>
        <v>#VALUE!</v>
      </c>
      <c r="HU26" t="e">
        <f>AND('2015'!D109,"AAAAACv//eQ=")</f>
        <v>#VALUE!</v>
      </c>
      <c r="HV26" t="e">
        <f>AND('2015'!E109,"AAAAACv//eU=")</f>
        <v>#VALUE!</v>
      </c>
      <c r="HW26" t="e">
        <f>AND('2015'!F109,"AAAAACv//eY=")</f>
        <v>#VALUE!</v>
      </c>
      <c r="HX26" t="e">
        <f>AND('2015'!G109,"AAAAACv//ec=")</f>
        <v>#VALUE!</v>
      </c>
      <c r="HY26" t="e">
        <f>AND('2015'!H109,"AAAAACv//eg=")</f>
        <v>#VALUE!</v>
      </c>
      <c r="HZ26" t="e">
        <f>AND('2015'!I109,"AAAAACv//ek=")</f>
        <v>#VALUE!</v>
      </c>
      <c r="IA26" t="e">
        <f>AND('2015'!J109,"AAAAACv//eo=")</f>
        <v>#VALUE!</v>
      </c>
      <c r="IB26" t="e">
        <f>AND('2015'!K109,"AAAAACv//es=")</f>
        <v>#VALUE!</v>
      </c>
      <c r="IC26" t="e">
        <f>AND('2015'!L109,"AAAAACv//ew=")</f>
        <v>#VALUE!</v>
      </c>
      <c r="ID26" t="e">
        <f>AND('2015'!M109,"AAAAACv//e0=")</f>
        <v>#VALUE!</v>
      </c>
      <c r="IE26" t="e">
        <f>AND('2015'!N109,"AAAAACv//e4=")</f>
        <v>#VALUE!</v>
      </c>
      <c r="IF26" t="e">
        <f>AND('2015'!O109,"AAAAACv//e8=")</f>
        <v>#VALUE!</v>
      </c>
      <c r="IG26" t="e">
        <f>AND('2015'!P109,"AAAAACv//fA=")</f>
        <v>#VALUE!</v>
      </c>
      <c r="IH26" t="e">
        <f>AND('2015'!Q109,"AAAAACv//fE=")</f>
        <v>#VALUE!</v>
      </c>
      <c r="II26" t="e">
        <f>AND('2015'!R109,"AAAAACv//fI=")</f>
        <v>#VALUE!</v>
      </c>
      <c r="IJ26" t="e">
        <f>AND('2015'!S109,"AAAAACv//fM=")</f>
        <v>#VALUE!</v>
      </c>
      <c r="IK26" t="e">
        <f>AND('2015'!T109,"AAAAACv//fQ=")</f>
        <v>#VALUE!</v>
      </c>
      <c r="IL26" t="e">
        <f>AND('2015'!U109,"AAAAACv//fU=")</f>
        <v>#VALUE!</v>
      </c>
      <c r="IM26" t="e">
        <f>AND('2015'!V109,"AAAAACv//fY=")</f>
        <v>#VALUE!</v>
      </c>
      <c r="IN26" t="e">
        <f>AND('2015'!W109,"AAAAACv//fc=")</f>
        <v>#VALUE!</v>
      </c>
      <c r="IO26" t="e">
        <f>AND('2015'!X109,"AAAAACv//fg=")</f>
        <v>#VALUE!</v>
      </c>
      <c r="IP26" t="e">
        <f>AND('2015'!Y109,"AAAAACv//fk=")</f>
        <v>#VALUE!</v>
      </c>
      <c r="IQ26" t="e">
        <f>AND('2015'!Z109,"AAAAACv//fo=")</f>
        <v>#VALUE!</v>
      </c>
      <c r="IR26" t="e">
        <f>AND('2015'!AA109,"AAAAACv//fs=")</f>
        <v>#VALUE!</v>
      </c>
      <c r="IS26" t="e">
        <f>AND('2015'!AB109,"AAAAACv//fw=")</f>
        <v>#VALUE!</v>
      </c>
      <c r="IT26" t="e">
        <f>AND('2015'!AC109,"AAAAACv//f0=")</f>
        <v>#VALUE!</v>
      </c>
      <c r="IU26" t="e">
        <f>AND('2015'!AD109,"AAAAACv//f4=")</f>
        <v>#VALUE!</v>
      </c>
      <c r="IV26" t="e">
        <f>AND('2015'!AE109,"AAAAACv//f8=")</f>
        <v>#VALUE!</v>
      </c>
    </row>
    <row r="27" spans="1:256" x14ac:dyDescent="0.25">
      <c r="A27" t="e">
        <f>AND('2015'!AF109,"AAAAAFbf3wA=")</f>
        <v>#VALUE!</v>
      </c>
      <c r="B27" t="e">
        <f>AND('2015'!AG109,"AAAAAFbf3wE=")</f>
        <v>#VALUE!</v>
      </c>
      <c r="C27" t="e">
        <f>AND('2015'!AH109,"AAAAAFbf3wI=")</f>
        <v>#VALUE!</v>
      </c>
      <c r="D27" t="e">
        <f>AND('2015'!AI109,"AAAAAFbf3wM=")</f>
        <v>#VALUE!</v>
      </c>
      <c r="E27" t="e">
        <f>AND('2015'!AJ109,"AAAAAFbf3wQ=")</f>
        <v>#VALUE!</v>
      </c>
      <c r="F27" t="e">
        <f>AND('2015'!AK109,"AAAAAFbf3wU=")</f>
        <v>#VALUE!</v>
      </c>
      <c r="G27" t="e">
        <f>AND('2015'!AL109,"AAAAAFbf3wY=")</f>
        <v>#VALUE!</v>
      </c>
      <c r="H27" t="e">
        <f>AND('2015'!AM109,"AAAAAFbf3wc=")</f>
        <v>#VALUE!</v>
      </c>
      <c r="I27" t="e">
        <f>AND('2015'!AN109,"AAAAAFbf3wg=")</f>
        <v>#VALUE!</v>
      </c>
      <c r="J27" t="e">
        <f>AND('2015'!AO109,"AAAAAFbf3wk=")</f>
        <v>#VALUE!</v>
      </c>
      <c r="K27" t="e">
        <f>AND('2015'!AP109,"AAAAAFbf3wo=")</f>
        <v>#VALUE!</v>
      </c>
      <c r="L27" t="e">
        <f>AND('2015'!AQ109,"AAAAAFbf3ws=")</f>
        <v>#VALUE!</v>
      </c>
      <c r="M27" t="e">
        <f>AND('2015'!AR109,"AAAAAFbf3ww=")</f>
        <v>#VALUE!</v>
      </c>
      <c r="N27" t="e">
        <f>AND('2015'!AS109,"AAAAAFbf3w0=")</f>
        <v>#VALUE!</v>
      </c>
      <c r="O27" t="e">
        <f>AND('2015'!AT109,"AAAAAFbf3w4=")</f>
        <v>#VALUE!</v>
      </c>
      <c r="P27" t="e">
        <f>AND('2015'!#REF!,"AAAAAFbf3w8=")</f>
        <v>#REF!</v>
      </c>
      <c r="Q27" t="e">
        <f>AND('2015'!AU109,"AAAAAFbf3xA=")</f>
        <v>#VALUE!</v>
      </c>
      <c r="R27" t="e">
        <f>AND('2015'!AV109,"AAAAAFbf3xE=")</f>
        <v>#VALUE!</v>
      </c>
      <c r="S27" t="e">
        <f>AND('2015'!AW109,"AAAAAFbf3xI=")</f>
        <v>#VALUE!</v>
      </c>
      <c r="T27" t="e">
        <f>AND('2015'!AX109,"AAAAAFbf3xM=")</f>
        <v>#VALUE!</v>
      </c>
      <c r="U27" t="e">
        <f>AND('2015'!AY109,"AAAAAFbf3xQ=")</f>
        <v>#VALUE!</v>
      </c>
      <c r="V27" t="e">
        <f>AND('2015'!AZ109,"AAAAAFbf3xU=")</f>
        <v>#VALUE!</v>
      </c>
      <c r="W27" t="e">
        <f>AND('2015'!BA109,"AAAAAFbf3xY=")</f>
        <v>#VALUE!</v>
      </c>
      <c r="X27" t="e">
        <f>AND('2015'!BB109,"AAAAAFbf3xc=")</f>
        <v>#VALUE!</v>
      </c>
      <c r="Y27" t="e">
        <f>AND('2015'!BC109,"AAAAAFbf3xg=")</f>
        <v>#VALUE!</v>
      </c>
      <c r="Z27" t="e">
        <f>AND('2015'!BD109,"AAAAAFbf3xk=")</f>
        <v>#VALUE!</v>
      </c>
      <c r="AA27" t="e">
        <f>AND('2015'!BE109,"AAAAAFbf3xo=")</f>
        <v>#VALUE!</v>
      </c>
      <c r="AB27" t="e">
        <f>AND('2015'!BF109,"AAAAAFbf3xs=")</f>
        <v>#VALUE!</v>
      </c>
      <c r="AC27" t="e">
        <f>AND('2015'!BG109,"AAAAAFbf3xw=")</f>
        <v>#VALUE!</v>
      </c>
      <c r="AD27" t="e">
        <f>AND('2015'!BH109,"AAAAAFbf3x0=")</f>
        <v>#VALUE!</v>
      </c>
      <c r="AE27" t="e">
        <f>AND('2015'!BI109,"AAAAAFbf3x4=")</f>
        <v>#VALUE!</v>
      </c>
      <c r="AF27" t="e">
        <f>AND('2015'!#REF!,"AAAAAFbf3x8=")</f>
        <v>#REF!</v>
      </c>
      <c r="AG27" t="e">
        <f>AND('2015'!BJ109,"AAAAAFbf3yA=")</f>
        <v>#VALUE!</v>
      </c>
      <c r="AH27" t="e">
        <f>AND('2015'!BK109,"AAAAAFbf3yE=")</f>
        <v>#VALUE!</v>
      </c>
      <c r="AI27" t="e">
        <f>AND('2015'!BL109,"AAAAAFbf3yI=")</f>
        <v>#VALUE!</v>
      </c>
      <c r="AJ27" t="e">
        <f>AND('2015'!BM109,"AAAAAFbf3yM=")</f>
        <v>#VALUE!</v>
      </c>
      <c r="AK27" t="e">
        <f>AND('2015'!BY109,"AAAAAFbf3yQ=")</f>
        <v>#VALUE!</v>
      </c>
      <c r="AL27" t="str">
        <f>IF('2015'!110:110,"AAAAAFbf3yU=",0)</f>
        <v>AAAAAFbf3yU=</v>
      </c>
      <c r="AM27" t="e">
        <f>AND('2015'!A110,"AAAAAFbf3yY=")</f>
        <v>#VALUE!</v>
      </c>
      <c r="AN27" t="e">
        <f>AND('2015'!B110,"AAAAAFbf3yc=")</f>
        <v>#VALUE!</v>
      </c>
      <c r="AO27" t="e">
        <f>AND('2015'!C110,"AAAAAFbf3yg=")</f>
        <v>#VALUE!</v>
      </c>
      <c r="AP27" t="e">
        <f>AND('2015'!D110,"AAAAAFbf3yk=")</f>
        <v>#VALUE!</v>
      </c>
      <c r="AQ27" t="e">
        <f>AND('2015'!E110,"AAAAAFbf3yo=")</f>
        <v>#VALUE!</v>
      </c>
      <c r="AR27" t="e">
        <f>AND('2015'!F110,"AAAAAFbf3ys=")</f>
        <v>#VALUE!</v>
      </c>
      <c r="AS27" t="e">
        <f>AND('2015'!G110,"AAAAAFbf3yw=")</f>
        <v>#VALUE!</v>
      </c>
      <c r="AT27" t="e">
        <f>AND('2015'!H110,"AAAAAFbf3y0=")</f>
        <v>#VALUE!</v>
      </c>
      <c r="AU27" t="e">
        <f>AND('2015'!I110,"AAAAAFbf3y4=")</f>
        <v>#VALUE!</v>
      </c>
      <c r="AV27" t="e">
        <f>AND('2015'!J110,"AAAAAFbf3y8=")</f>
        <v>#VALUE!</v>
      </c>
      <c r="AW27" t="e">
        <f>AND('2015'!K110,"AAAAAFbf3zA=")</f>
        <v>#VALUE!</v>
      </c>
      <c r="AX27" t="e">
        <f>AND('2015'!L110,"AAAAAFbf3zE=")</f>
        <v>#VALUE!</v>
      </c>
      <c r="AY27" t="e">
        <f>AND('2015'!M110,"AAAAAFbf3zI=")</f>
        <v>#VALUE!</v>
      </c>
      <c r="AZ27" t="e">
        <f>AND('2015'!N110,"AAAAAFbf3zM=")</f>
        <v>#VALUE!</v>
      </c>
      <c r="BA27" t="e">
        <f>AND('2015'!O110,"AAAAAFbf3zQ=")</f>
        <v>#VALUE!</v>
      </c>
      <c r="BB27" t="e">
        <f>AND('2015'!P110,"AAAAAFbf3zU=")</f>
        <v>#VALUE!</v>
      </c>
      <c r="BC27" t="e">
        <f>AND('2015'!Q110,"AAAAAFbf3zY=")</f>
        <v>#VALUE!</v>
      </c>
      <c r="BD27" t="e">
        <f>AND('2015'!R110,"AAAAAFbf3zc=")</f>
        <v>#VALUE!</v>
      </c>
      <c r="BE27" t="e">
        <f>AND('2015'!S110,"AAAAAFbf3zg=")</f>
        <v>#VALUE!</v>
      </c>
      <c r="BF27" t="e">
        <f>AND('2015'!T110,"AAAAAFbf3zk=")</f>
        <v>#VALUE!</v>
      </c>
      <c r="BG27" t="e">
        <f>AND('2015'!U110,"AAAAAFbf3zo=")</f>
        <v>#VALUE!</v>
      </c>
      <c r="BH27" t="e">
        <f>AND('2015'!V110,"AAAAAFbf3zs=")</f>
        <v>#VALUE!</v>
      </c>
      <c r="BI27" t="e">
        <f>AND('2015'!W110,"AAAAAFbf3zw=")</f>
        <v>#VALUE!</v>
      </c>
      <c r="BJ27" t="e">
        <f>AND('2015'!X110,"AAAAAFbf3z0=")</f>
        <v>#VALUE!</v>
      </c>
      <c r="BK27" t="e">
        <f>AND('2015'!Y110,"AAAAAFbf3z4=")</f>
        <v>#VALUE!</v>
      </c>
      <c r="BL27" t="e">
        <f>AND('2015'!Z110,"AAAAAFbf3z8=")</f>
        <v>#VALUE!</v>
      </c>
      <c r="BM27" t="e">
        <f>AND('2015'!AA110,"AAAAAFbf30A=")</f>
        <v>#VALUE!</v>
      </c>
      <c r="BN27" t="e">
        <f>AND('2015'!AB110,"AAAAAFbf30E=")</f>
        <v>#VALUE!</v>
      </c>
      <c r="BO27" t="e">
        <f>AND('2015'!AC110,"AAAAAFbf30I=")</f>
        <v>#VALUE!</v>
      </c>
      <c r="BP27" t="e">
        <f>AND('2015'!AD110,"AAAAAFbf30M=")</f>
        <v>#VALUE!</v>
      </c>
      <c r="BQ27" t="e">
        <f>AND('2015'!AE110,"AAAAAFbf30Q=")</f>
        <v>#VALUE!</v>
      </c>
      <c r="BR27" t="e">
        <f>AND('2015'!AF110,"AAAAAFbf30U=")</f>
        <v>#VALUE!</v>
      </c>
      <c r="BS27" t="e">
        <f>AND('2015'!AG110,"AAAAAFbf30Y=")</f>
        <v>#VALUE!</v>
      </c>
      <c r="BT27" t="e">
        <f>AND('2015'!AH110,"AAAAAFbf30c=")</f>
        <v>#VALUE!</v>
      </c>
      <c r="BU27" t="e">
        <f>AND('2015'!AI110,"AAAAAFbf30g=")</f>
        <v>#VALUE!</v>
      </c>
      <c r="BV27" t="e">
        <f>AND('2015'!AJ110,"AAAAAFbf30k=")</f>
        <v>#VALUE!</v>
      </c>
      <c r="BW27" t="e">
        <f>AND('2015'!AK110,"AAAAAFbf30o=")</f>
        <v>#VALUE!</v>
      </c>
      <c r="BX27" t="e">
        <f>AND('2015'!AL110,"AAAAAFbf30s=")</f>
        <v>#VALUE!</v>
      </c>
      <c r="BY27" t="e">
        <f>AND('2015'!AM110,"AAAAAFbf30w=")</f>
        <v>#VALUE!</v>
      </c>
      <c r="BZ27" t="e">
        <f>AND('2015'!AN110,"AAAAAFbf300=")</f>
        <v>#VALUE!</v>
      </c>
      <c r="CA27" t="e">
        <f>AND('2015'!AO110,"AAAAAFbf304=")</f>
        <v>#VALUE!</v>
      </c>
      <c r="CB27" t="e">
        <f>AND('2015'!AP110,"AAAAAFbf308=")</f>
        <v>#VALUE!</v>
      </c>
      <c r="CC27" t="e">
        <f>AND('2015'!AQ110,"AAAAAFbf31A=")</f>
        <v>#VALUE!</v>
      </c>
      <c r="CD27" t="e">
        <f>AND('2015'!AR110,"AAAAAFbf31E=")</f>
        <v>#VALUE!</v>
      </c>
      <c r="CE27" t="e">
        <f>AND('2015'!AS110,"AAAAAFbf31I=")</f>
        <v>#VALUE!</v>
      </c>
      <c r="CF27" t="e">
        <f>AND('2015'!AT110,"AAAAAFbf31M=")</f>
        <v>#VALUE!</v>
      </c>
      <c r="CG27" t="e">
        <f>AND('2015'!#REF!,"AAAAAFbf31Q=")</f>
        <v>#REF!</v>
      </c>
      <c r="CH27" t="e">
        <f>AND('2015'!AU110,"AAAAAFbf31U=")</f>
        <v>#VALUE!</v>
      </c>
      <c r="CI27" t="e">
        <f>AND('2015'!AV110,"AAAAAFbf31Y=")</f>
        <v>#VALUE!</v>
      </c>
      <c r="CJ27" t="e">
        <f>AND('2015'!AW110,"AAAAAFbf31c=")</f>
        <v>#VALUE!</v>
      </c>
      <c r="CK27" t="e">
        <f>AND('2015'!AX110,"AAAAAFbf31g=")</f>
        <v>#VALUE!</v>
      </c>
      <c r="CL27" t="e">
        <f>AND('2015'!AY110,"AAAAAFbf31k=")</f>
        <v>#VALUE!</v>
      </c>
      <c r="CM27" t="e">
        <f>AND('2015'!AZ110,"AAAAAFbf31o=")</f>
        <v>#VALUE!</v>
      </c>
      <c r="CN27" t="e">
        <f>AND('2015'!BA110,"AAAAAFbf31s=")</f>
        <v>#VALUE!</v>
      </c>
      <c r="CO27" t="e">
        <f>AND('2015'!BB110,"AAAAAFbf31w=")</f>
        <v>#VALUE!</v>
      </c>
      <c r="CP27" t="e">
        <f>AND('2015'!BC110,"AAAAAFbf310=")</f>
        <v>#VALUE!</v>
      </c>
      <c r="CQ27" t="e">
        <f>AND('2015'!BD110,"AAAAAFbf314=")</f>
        <v>#VALUE!</v>
      </c>
      <c r="CR27" t="e">
        <f>AND('2015'!BE110,"AAAAAFbf318=")</f>
        <v>#VALUE!</v>
      </c>
      <c r="CS27" t="e">
        <f>AND('2015'!BF110,"AAAAAFbf32A=")</f>
        <v>#VALUE!</v>
      </c>
      <c r="CT27" t="e">
        <f>AND('2015'!BG110,"AAAAAFbf32E=")</f>
        <v>#VALUE!</v>
      </c>
      <c r="CU27" t="e">
        <f>AND('2015'!BH110,"AAAAAFbf32I=")</f>
        <v>#VALUE!</v>
      </c>
      <c r="CV27" t="e">
        <f>AND('2015'!BI110,"AAAAAFbf32M=")</f>
        <v>#VALUE!</v>
      </c>
      <c r="CW27" t="e">
        <f>AND('2015'!#REF!,"AAAAAFbf32Q=")</f>
        <v>#REF!</v>
      </c>
      <c r="CX27" t="e">
        <f>AND('2015'!BJ110,"AAAAAFbf32U=")</f>
        <v>#VALUE!</v>
      </c>
      <c r="CY27" t="e">
        <f>AND('2015'!BK110,"AAAAAFbf32Y=")</f>
        <v>#VALUE!</v>
      </c>
      <c r="CZ27" t="e">
        <f>AND('2015'!BL110,"AAAAAFbf32c=")</f>
        <v>#VALUE!</v>
      </c>
      <c r="DA27" t="e">
        <f>AND('2015'!BM110,"AAAAAFbf32g=")</f>
        <v>#VALUE!</v>
      </c>
      <c r="DB27" t="e">
        <f>AND('2015'!BY110,"AAAAAFbf32k=")</f>
        <v>#VALUE!</v>
      </c>
      <c r="DC27">
        <f>IF('2015'!111:111,"AAAAAFbf32o=",0)</f>
        <v>0</v>
      </c>
      <c r="DD27" t="e">
        <f>AND('2015'!A111,"AAAAAFbf32s=")</f>
        <v>#VALUE!</v>
      </c>
      <c r="DE27" t="e">
        <f>AND('2015'!B111,"AAAAAFbf32w=")</f>
        <v>#VALUE!</v>
      </c>
      <c r="DF27" t="e">
        <f>AND('2015'!C111,"AAAAAFbf320=")</f>
        <v>#VALUE!</v>
      </c>
      <c r="DG27" t="e">
        <f>AND('2015'!D111,"AAAAAFbf324=")</f>
        <v>#VALUE!</v>
      </c>
      <c r="DH27" t="e">
        <f>AND('2015'!E111,"AAAAAFbf328=")</f>
        <v>#VALUE!</v>
      </c>
      <c r="DI27" t="e">
        <f>AND('2015'!F111,"AAAAAFbf33A=")</f>
        <v>#VALUE!</v>
      </c>
      <c r="DJ27" t="e">
        <f>AND('2015'!G111,"AAAAAFbf33E=")</f>
        <v>#VALUE!</v>
      </c>
      <c r="DK27" t="e">
        <f>AND('2015'!H111,"AAAAAFbf33I=")</f>
        <v>#VALUE!</v>
      </c>
      <c r="DL27" t="e">
        <f>AND('2015'!I111,"AAAAAFbf33M=")</f>
        <v>#VALUE!</v>
      </c>
      <c r="DM27" t="e">
        <f>AND('2015'!J111,"AAAAAFbf33Q=")</f>
        <v>#VALUE!</v>
      </c>
      <c r="DN27" t="e">
        <f>AND('2015'!K111,"AAAAAFbf33U=")</f>
        <v>#VALUE!</v>
      </c>
      <c r="DO27" t="e">
        <f>AND('2015'!L111,"AAAAAFbf33Y=")</f>
        <v>#VALUE!</v>
      </c>
      <c r="DP27" t="e">
        <f>AND('2015'!M111,"AAAAAFbf33c=")</f>
        <v>#VALUE!</v>
      </c>
      <c r="DQ27" t="e">
        <f>AND('2015'!N111,"AAAAAFbf33g=")</f>
        <v>#VALUE!</v>
      </c>
      <c r="DR27" t="e">
        <f>AND('2015'!O111,"AAAAAFbf33k=")</f>
        <v>#VALUE!</v>
      </c>
      <c r="DS27" t="e">
        <f>AND('2015'!P111,"AAAAAFbf33o=")</f>
        <v>#VALUE!</v>
      </c>
      <c r="DT27" t="e">
        <f>AND('2015'!Q111,"AAAAAFbf33s=")</f>
        <v>#VALUE!</v>
      </c>
      <c r="DU27" t="e">
        <f>AND('2015'!R111,"AAAAAFbf33w=")</f>
        <v>#VALUE!</v>
      </c>
      <c r="DV27" t="e">
        <f>AND('2015'!S111,"AAAAAFbf330=")</f>
        <v>#VALUE!</v>
      </c>
      <c r="DW27" t="e">
        <f>AND('2015'!T111,"AAAAAFbf334=")</f>
        <v>#VALUE!</v>
      </c>
      <c r="DX27" t="e">
        <f>AND('2015'!U111,"AAAAAFbf338=")</f>
        <v>#VALUE!</v>
      </c>
      <c r="DY27" t="e">
        <f>AND('2015'!V111,"AAAAAFbf34A=")</f>
        <v>#VALUE!</v>
      </c>
      <c r="DZ27" t="e">
        <f>AND('2015'!W111,"AAAAAFbf34E=")</f>
        <v>#VALUE!</v>
      </c>
      <c r="EA27" t="e">
        <f>AND('2015'!X111,"AAAAAFbf34I=")</f>
        <v>#VALUE!</v>
      </c>
      <c r="EB27" t="e">
        <f>AND('2015'!Y111,"AAAAAFbf34M=")</f>
        <v>#VALUE!</v>
      </c>
      <c r="EC27" t="e">
        <f>AND('2015'!Z111,"AAAAAFbf34Q=")</f>
        <v>#VALUE!</v>
      </c>
      <c r="ED27" t="e">
        <f>AND('2015'!AA111,"AAAAAFbf34U=")</f>
        <v>#VALUE!</v>
      </c>
      <c r="EE27" t="e">
        <f>AND('2015'!AB111,"AAAAAFbf34Y=")</f>
        <v>#VALUE!</v>
      </c>
      <c r="EF27" t="e">
        <f>AND('2015'!AC111,"AAAAAFbf34c=")</f>
        <v>#VALUE!</v>
      </c>
      <c r="EG27" t="e">
        <f>AND('2015'!AD111,"AAAAAFbf34g=")</f>
        <v>#VALUE!</v>
      </c>
      <c r="EH27" t="e">
        <f>AND('2015'!AE111,"AAAAAFbf34k=")</f>
        <v>#VALUE!</v>
      </c>
      <c r="EI27" t="e">
        <f>AND('2015'!AF111,"AAAAAFbf34o=")</f>
        <v>#VALUE!</v>
      </c>
      <c r="EJ27" t="e">
        <f>AND('2015'!AG111,"AAAAAFbf34s=")</f>
        <v>#VALUE!</v>
      </c>
      <c r="EK27" t="e">
        <f>AND('2015'!AH111,"AAAAAFbf34w=")</f>
        <v>#VALUE!</v>
      </c>
      <c r="EL27" t="e">
        <f>AND('2015'!AI111,"AAAAAFbf340=")</f>
        <v>#VALUE!</v>
      </c>
      <c r="EM27" t="e">
        <f>AND('2015'!AJ111,"AAAAAFbf344=")</f>
        <v>#VALUE!</v>
      </c>
      <c r="EN27" t="e">
        <f>AND('2015'!AK111,"AAAAAFbf348=")</f>
        <v>#VALUE!</v>
      </c>
      <c r="EO27" t="e">
        <f>AND('2015'!AL111,"AAAAAFbf35A=")</f>
        <v>#VALUE!</v>
      </c>
      <c r="EP27" t="e">
        <f>AND('2015'!AM111,"AAAAAFbf35E=")</f>
        <v>#VALUE!</v>
      </c>
      <c r="EQ27" t="e">
        <f>AND('2015'!AN111,"AAAAAFbf35I=")</f>
        <v>#VALUE!</v>
      </c>
      <c r="ER27" t="e">
        <f>AND('2015'!AO111,"AAAAAFbf35M=")</f>
        <v>#VALUE!</v>
      </c>
      <c r="ES27" t="e">
        <f>AND('2015'!AP111,"AAAAAFbf35Q=")</f>
        <v>#VALUE!</v>
      </c>
      <c r="ET27" t="e">
        <f>AND('2015'!AQ111,"AAAAAFbf35U=")</f>
        <v>#VALUE!</v>
      </c>
      <c r="EU27" t="e">
        <f>AND('2015'!AR111,"AAAAAFbf35Y=")</f>
        <v>#VALUE!</v>
      </c>
      <c r="EV27" t="e">
        <f>AND('2015'!AS111,"AAAAAFbf35c=")</f>
        <v>#VALUE!</v>
      </c>
      <c r="EW27" t="e">
        <f>AND('2015'!AT111,"AAAAAFbf35g=")</f>
        <v>#VALUE!</v>
      </c>
      <c r="EX27" t="e">
        <f>AND('2015'!#REF!,"AAAAAFbf35k=")</f>
        <v>#REF!</v>
      </c>
      <c r="EY27" t="e">
        <f>AND('2015'!AU111,"AAAAAFbf35o=")</f>
        <v>#VALUE!</v>
      </c>
      <c r="EZ27" t="e">
        <f>AND('2015'!AV111,"AAAAAFbf35s=")</f>
        <v>#VALUE!</v>
      </c>
      <c r="FA27" t="e">
        <f>AND('2015'!AW111,"AAAAAFbf35w=")</f>
        <v>#VALUE!</v>
      </c>
      <c r="FB27" t="e">
        <f>AND('2015'!AX111,"AAAAAFbf350=")</f>
        <v>#VALUE!</v>
      </c>
      <c r="FC27" t="e">
        <f>AND('2015'!AY111,"AAAAAFbf354=")</f>
        <v>#VALUE!</v>
      </c>
      <c r="FD27" t="e">
        <f>AND('2015'!AZ111,"AAAAAFbf358=")</f>
        <v>#VALUE!</v>
      </c>
      <c r="FE27" t="e">
        <f>AND('2015'!BA111,"AAAAAFbf36A=")</f>
        <v>#VALUE!</v>
      </c>
      <c r="FF27" t="e">
        <f>AND('2015'!BB111,"AAAAAFbf36E=")</f>
        <v>#VALUE!</v>
      </c>
      <c r="FG27" t="e">
        <f>AND('2015'!BC111,"AAAAAFbf36I=")</f>
        <v>#VALUE!</v>
      </c>
      <c r="FH27" t="e">
        <f>AND('2015'!BD111,"AAAAAFbf36M=")</f>
        <v>#VALUE!</v>
      </c>
      <c r="FI27" t="e">
        <f>AND('2015'!BE111,"AAAAAFbf36Q=")</f>
        <v>#VALUE!</v>
      </c>
      <c r="FJ27" t="e">
        <f>AND('2015'!BF111,"AAAAAFbf36U=")</f>
        <v>#VALUE!</v>
      </c>
      <c r="FK27" t="e">
        <f>AND('2015'!BG111,"AAAAAFbf36Y=")</f>
        <v>#VALUE!</v>
      </c>
      <c r="FL27" t="e">
        <f>AND('2015'!BH111,"AAAAAFbf36c=")</f>
        <v>#VALUE!</v>
      </c>
      <c r="FM27" t="e">
        <f>AND('2015'!BI111,"AAAAAFbf36g=")</f>
        <v>#VALUE!</v>
      </c>
      <c r="FN27" t="e">
        <f>AND('2015'!#REF!,"AAAAAFbf36k=")</f>
        <v>#REF!</v>
      </c>
      <c r="FO27" t="e">
        <f>AND('2015'!BJ111,"AAAAAFbf36o=")</f>
        <v>#VALUE!</v>
      </c>
      <c r="FP27" t="e">
        <f>AND('2015'!BK111,"AAAAAFbf36s=")</f>
        <v>#VALUE!</v>
      </c>
      <c r="FQ27" t="e">
        <f>AND('2015'!BL111,"AAAAAFbf36w=")</f>
        <v>#VALUE!</v>
      </c>
      <c r="FR27" t="e">
        <f>AND('2015'!BM111,"AAAAAFbf360=")</f>
        <v>#VALUE!</v>
      </c>
      <c r="FS27" t="e">
        <f>AND('2015'!BY111,"AAAAAFbf364=")</f>
        <v>#VALUE!</v>
      </c>
      <c r="FT27">
        <f>IF('2015'!112:112,"AAAAAFbf368=",0)</f>
        <v>0</v>
      </c>
      <c r="FU27" t="e">
        <f>AND('2015'!A112,"AAAAAFbf37A=")</f>
        <v>#VALUE!</v>
      </c>
      <c r="FV27" t="e">
        <f>AND('2015'!B112,"AAAAAFbf37E=")</f>
        <v>#VALUE!</v>
      </c>
      <c r="FW27" t="e">
        <f>AND('2015'!C112,"AAAAAFbf37I=")</f>
        <v>#VALUE!</v>
      </c>
      <c r="FX27" t="e">
        <f>AND('2015'!D112,"AAAAAFbf37M=")</f>
        <v>#VALUE!</v>
      </c>
      <c r="FY27" t="e">
        <f>AND('2015'!E112,"AAAAAFbf37Q=")</f>
        <v>#VALUE!</v>
      </c>
      <c r="FZ27" t="e">
        <f>AND('2015'!F112,"AAAAAFbf37U=")</f>
        <v>#VALUE!</v>
      </c>
      <c r="GA27" t="e">
        <f>AND('2015'!G112,"AAAAAFbf37Y=")</f>
        <v>#VALUE!</v>
      </c>
      <c r="GB27" t="e">
        <f>AND('2015'!H112,"AAAAAFbf37c=")</f>
        <v>#VALUE!</v>
      </c>
      <c r="GC27" t="e">
        <f>AND('2015'!I112,"AAAAAFbf37g=")</f>
        <v>#VALUE!</v>
      </c>
      <c r="GD27" t="e">
        <f>AND('2015'!J112,"AAAAAFbf37k=")</f>
        <v>#VALUE!</v>
      </c>
      <c r="GE27" t="e">
        <f>AND('2015'!K112,"AAAAAFbf37o=")</f>
        <v>#VALUE!</v>
      </c>
      <c r="GF27" t="e">
        <f>AND('2015'!L112,"AAAAAFbf37s=")</f>
        <v>#VALUE!</v>
      </c>
      <c r="GG27" t="e">
        <f>AND('2015'!M112,"AAAAAFbf37w=")</f>
        <v>#VALUE!</v>
      </c>
      <c r="GH27" t="e">
        <f>AND('2015'!N112,"AAAAAFbf370=")</f>
        <v>#VALUE!</v>
      </c>
      <c r="GI27" t="e">
        <f>AND('2015'!O112,"AAAAAFbf374=")</f>
        <v>#VALUE!</v>
      </c>
      <c r="GJ27" t="e">
        <f>AND('2015'!P112,"AAAAAFbf378=")</f>
        <v>#VALUE!</v>
      </c>
      <c r="GK27" t="e">
        <f>AND('2015'!Q112,"AAAAAFbf38A=")</f>
        <v>#VALUE!</v>
      </c>
      <c r="GL27" t="e">
        <f>AND('2015'!R112,"AAAAAFbf38E=")</f>
        <v>#VALUE!</v>
      </c>
      <c r="GM27" t="e">
        <f>AND('2015'!S112,"AAAAAFbf38I=")</f>
        <v>#VALUE!</v>
      </c>
      <c r="GN27" t="e">
        <f>AND('2015'!T112,"AAAAAFbf38M=")</f>
        <v>#VALUE!</v>
      </c>
      <c r="GO27" t="e">
        <f>AND('2015'!U112,"AAAAAFbf38Q=")</f>
        <v>#VALUE!</v>
      </c>
      <c r="GP27" t="e">
        <f>AND('2015'!V112,"AAAAAFbf38U=")</f>
        <v>#VALUE!</v>
      </c>
      <c r="GQ27" t="e">
        <f>AND('2015'!W112,"AAAAAFbf38Y=")</f>
        <v>#VALUE!</v>
      </c>
      <c r="GR27" t="e">
        <f>AND('2015'!X112,"AAAAAFbf38c=")</f>
        <v>#VALUE!</v>
      </c>
      <c r="GS27" t="e">
        <f>AND('2015'!Y112,"AAAAAFbf38g=")</f>
        <v>#VALUE!</v>
      </c>
      <c r="GT27" t="e">
        <f>AND('2015'!Z112,"AAAAAFbf38k=")</f>
        <v>#VALUE!</v>
      </c>
      <c r="GU27" t="e">
        <f>AND('2015'!AA112,"AAAAAFbf38o=")</f>
        <v>#VALUE!</v>
      </c>
      <c r="GV27" t="e">
        <f>AND('2015'!AB112,"AAAAAFbf38s=")</f>
        <v>#VALUE!</v>
      </c>
      <c r="GW27" t="e">
        <f>AND('2015'!AC112,"AAAAAFbf38w=")</f>
        <v>#VALUE!</v>
      </c>
      <c r="GX27" t="e">
        <f>AND('2015'!AD112,"AAAAAFbf380=")</f>
        <v>#VALUE!</v>
      </c>
      <c r="GY27" t="e">
        <f>AND('2015'!AE112,"AAAAAFbf384=")</f>
        <v>#VALUE!</v>
      </c>
      <c r="GZ27" t="e">
        <f>AND('2015'!AF112,"AAAAAFbf388=")</f>
        <v>#VALUE!</v>
      </c>
      <c r="HA27" t="e">
        <f>AND('2015'!AG112,"AAAAAFbf39A=")</f>
        <v>#VALUE!</v>
      </c>
      <c r="HB27" t="e">
        <f>AND('2015'!AH112,"AAAAAFbf39E=")</f>
        <v>#VALUE!</v>
      </c>
      <c r="HC27" t="e">
        <f>AND('2015'!AI112,"AAAAAFbf39I=")</f>
        <v>#VALUE!</v>
      </c>
      <c r="HD27" t="e">
        <f>AND('2015'!AJ112,"AAAAAFbf39M=")</f>
        <v>#VALUE!</v>
      </c>
      <c r="HE27" t="e">
        <f>AND('2015'!AK112,"AAAAAFbf39Q=")</f>
        <v>#VALUE!</v>
      </c>
      <c r="HF27" t="e">
        <f>AND('2015'!AL112,"AAAAAFbf39U=")</f>
        <v>#VALUE!</v>
      </c>
      <c r="HG27" t="e">
        <f>AND('2015'!AM112,"AAAAAFbf39Y=")</f>
        <v>#VALUE!</v>
      </c>
      <c r="HH27" t="e">
        <f>AND('2015'!AN112,"AAAAAFbf39c=")</f>
        <v>#VALUE!</v>
      </c>
      <c r="HI27" t="e">
        <f>AND('2015'!AO112,"AAAAAFbf39g=")</f>
        <v>#VALUE!</v>
      </c>
      <c r="HJ27" t="e">
        <f>AND('2015'!AP112,"AAAAAFbf39k=")</f>
        <v>#VALUE!</v>
      </c>
      <c r="HK27" t="e">
        <f>AND('2015'!AQ112,"AAAAAFbf39o=")</f>
        <v>#VALUE!</v>
      </c>
      <c r="HL27" t="e">
        <f>AND('2015'!AR112,"AAAAAFbf39s=")</f>
        <v>#VALUE!</v>
      </c>
      <c r="HM27" t="e">
        <f>AND('2015'!AS112,"AAAAAFbf39w=")</f>
        <v>#VALUE!</v>
      </c>
      <c r="HN27" t="e">
        <f>AND('2015'!AT112,"AAAAAFbf390=")</f>
        <v>#VALUE!</v>
      </c>
      <c r="HO27" t="e">
        <f>AND('2015'!#REF!,"AAAAAFbf394=")</f>
        <v>#REF!</v>
      </c>
      <c r="HP27" t="e">
        <f>AND('2015'!AU112,"AAAAAFbf398=")</f>
        <v>#VALUE!</v>
      </c>
      <c r="HQ27" t="e">
        <f>AND('2015'!AV112,"AAAAAFbf3+A=")</f>
        <v>#VALUE!</v>
      </c>
      <c r="HR27" t="e">
        <f>AND('2015'!AW112,"AAAAAFbf3+E=")</f>
        <v>#VALUE!</v>
      </c>
      <c r="HS27" t="e">
        <f>AND('2015'!AX112,"AAAAAFbf3+I=")</f>
        <v>#VALUE!</v>
      </c>
      <c r="HT27" t="e">
        <f>AND('2015'!AY112,"AAAAAFbf3+M=")</f>
        <v>#VALUE!</v>
      </c>
      <c r="HU27" t="e">
        <f>AND('2015'!AZ112,"AAAAAFbf3+Q=")</f>
        <v>#VALUE!</v>
      </c>
      <c r="HV27" t="e">
        <f>AND('2015'!BA112,"AAAAAFbf3+U=")</f>
        <v>#VALUE!</v>
      </c>
      <c r="HW27" t="e">
        <f>AND('2015'!BB112,"AAAAAFbf3+Y=")</f>
        <v>#VALUE!</v>
      </c>
      <c r="HX27" t="e">
        <f>AND('2015'!BC112,"AAAAAFbf3+c=")</f>
        <v>#VALUE!</v>
      </c>
      <c r="HY27" t="e">
        <f>AND('2015'!BD112,"AAAAAFbf3+g=")</f>
        <v>#VALUE!</v>
      </c>
      <c r="HZ27" t="e">
        <f>AND('2015'!BE112,"AAAAAFbf3+k=")</f>
        <v>#VALUE!</v>
      </c>
      <c r="IA27" t="e">
        <f>AND('2015'!BF112,"AAAAAFbf3+o=")</f>
        <v>#VALUE!</v>
      </c>
      <c r="IB27" t="e">
        <f>AND('2015'!BG112,"AAAAAFbf3+s=")</f>
        <v>#VALUE!</v>
      </c>
      <c r="IC27" t="e">
        <f>AND('2015'!BH112,"AAAAAFbf3+w=")</f>
        <v>#VALUE!</v>
      </c>
      <c r="ID27" t="e">
        <f>AND('2015'!BI112,"AAAAAFbf3+0=")</f>
        <v>#VALUE!</v>
      </c>
      <c r="IE27" t="e">
        <f>AND('2015'!#REF!,"AAAAAFbf3+4=")</f>
        <v>#REF!</v>
      </c>
      <c r="IF27" t="e">
        <f>AND('2015'!BJ112,"AAAAAFbf3+8=")</f>
        <v>#VALUE!</v>
      </c>
      <c r="IG27" t="e">
        <f>AND('2015'!BK112,"AAAAAFbf3/A=")</f>
        <v>#VALUE!</v>
      </c>
      <c r="IH27" t="e">
        <f>AND('2015'!BL112,"AAAAAFbf3/E=")</f>
        <v>#VALUE!</v>
      </c>
      <c r="II27" t="e">
        <f>AND('2015'!BM112,"AAAAAFbf3/I=")</f>
        <v>#VALUE!</v>
      </c>
      <c r="IJ27" t="e">
        <f>AND('2015'!BY112,"AAAAAFbf3/M=")</f>
        <v>#VALUE!</v>
      </c>
      <c r="IK27">
        <f>IF('2015'!113:113,"AAAAAFbf3/Q=",0)</f>
        <v>0</v>
      </c>
      <c r="IL27" t="e">
        <f>AND('2015'!A113,"AAAAAFbf3/U=")</f>
        <v>#VALUE!</v>
      </c>
      <c r="IM27" t="e">
        <f>AND('2015'!B113,"AAAAAFbf3/Y=")</f>
        <v>#VALUE!</v>
      </c>
      <c r="IN27" t="e">
        <f>AND('2015'!C113,"AAAAAFbf3/c=")</f>
        <v>#VALUE!</v>
      </c>
      <c r="IO27" t="e">
        <f>AND('2015'!D113,"AAAAAFbf3/g=")</f>
        <v>#VALUE!</v>
      </c>
      <c r="IP27" t="e">
        <f>AND('2015'!E113,"AAAAAFbf3/k=")</f>
        <v>#VALUE!</v>
      </c>
      <c r="IQ27" t="e">
        <f>AND('2015'!F113,"AAAAAFbf3/o=")</f>
        <v>#VALUE!</v>
      </c>
      <c r="IR27" t="e">
        <f>AND('2015'!G113,"AAAAAFbf3/s=")</f>
        <v>#VALUE!</v>
      </c>
      <c r="IS27" t="e">
        <f>AND('2015'!H113,"AAAAAFbf3/w=")</f>
        <v>#VALUE!</v>
      </c>
      <c r="IT27" t="e">
        <f>AND('2015'!I113,"AAAAAFbf3/0=")</f>
        <v>#VALUE!</v>
      </c>
      <c r="IU27" t="e">
        <f>AND('2015'!J113,"AAAAAFbf3/4=")</f>
        <v>#VALUE!</v>
      </c>
      <c r="IV27" t="e">
        <f>AND('2015'!K113,"AAAAAFbf3/8=")</f>
        <v>#VALUE!</v>
      </c>
    </row>
    <row r="28" spans="1:256" x14ac:dyDescent="0.25">
      <c r="A28" t="e">
        <f>AND('2015'!L113,"AAAAAG239gA=")</f>
        <v>#VALUE!</v>
      </c>
      <c r="B28" t="e">
        <f>AND('2015'!M113,"AAAAAG239gE=")</f>
        <v>#VALUE!</v>
      </c>
      <c r="C28" t="e">
        <f>AND('2015'!N113,"AAAAAG239gI=")</f>
        <v>#VALUE!</v>
      </c>
      <c r="D28" t="e">
        <f>AND('2015'!O113,"AAAAAG239gM=")</f>
        <v>#VALUE!</v>
      </c>
      <c r="E28" t="e">
        <f>AND('2015'!P113,"AAAAAG239gQ=")</f>
        <v>#VALUE!</v>
      </c>
      <c r="F28" t="e">
        <f>AND('2015'!Q113,"AAAAAG239gU=")</f>
        <v>#VALUE!</v>
      </c>
      <c r="G28" t="e">
        <f>AND('2015'!R113,"AAAAAG239gY=")</f>
        <v>#VALUE!</v>
      </c>
      <c r="H28" t="e">
        <f>AND('2015'!S113,"AAAAAG239gc=")</f>
        <v>#VALUE!</v>
      </c>
      <c r="I28" t="e">
        <f>AND('2015'!T113,"AAAAAG239gg=")</f>
        <v>#VALUE!</v>
      </c>
      <c r="J28" t="e">
        <f>AND('2015'!U113,"AAAAAG239gk=")</f>
        <v>#VALUE!</v>
      </c>
      <c r="K28" t="e">
        <f>AND('2015'!V113,"AAAAAG239go=")</f>
        <v>#VALUE!</v>
      </c>
      <c r="L28" t="e">
        <f>AND('2015'!W113,"AAAAAG239gs=")</f>
        <v>#VALUE!</v>
      </c>
      <c r="M28" t="e">
        <f>AND('2015'!X113,"AAAAAG239gw=")</f>
        <v>#VALUE!</v>
      </c>
      <c r="N28" t="e">
        <f>AND('2015'!Y113,"AAAAAG239g0=")</f>
        <v>#VALUE!</v>
      </c>
      <c r="O28" t="e">
        <f>AND('2015'!Z113,"AAAAAG239g4=")</f>
        <v>#VALUE!</v>
      </c>
      <c r="P28" t="e">
        <f>AND('2015'!AA113,"AAAAAG239g8=")</f>
        <v>#VALUE!</v>
      </c>
      <c r="Q28" t="e">
        <f>AND('2015'!AB113,"AAAAAG239hA=")</f>
        <v>#VALUE!</v>
      </c>
      <c r="R28" t="e">
        <f>AND('2015'!AC113,"AAAAAG239hE=")</f>
        <v>#VALUE!</v>
      </c>
      <c r="S28" t="e">
        <f>AND('2015'!AD113,"AAAAAG239hI=")</f>
        <v>#VALUE!</v>
      </c>
      <c r="T28" t="e">
        <f>AND('2015'!AE113,"AAAAAG239hM=")</f>
        <v>#VALUE!</v>
      </c>
      <c r="U28" t="e">
        <f>AND('2015'!AF113,"AAAAAG239hQ=")</f>
        <v>#VALUE!</v>
      </c>
      <c r="V28" t="e">
        <f>AND('2015'!AG113,"AAAAAG239hU=")</f>
        <v>#VALUE!</v>
      </c>
      <c r="W28" t="e">
        <f>AND('2015'!AH113,"AAAAAG239hY=")</f>
        <v>#VALUE!</v>
      </c>
      <c r="X28" t="e">
        <f>AND('2015'!AI113,"AAAAAG239hc=")</f>
        <v>#VALUE!</v>
      </c>
      <c r="Y28" t="e">
        <f>AND('2015'!AJ113,"AAAAAG239hg=")</f>
        <v>#VALUE!</v>
      </c>
      <c r="Z28" t="e">
        <f>AND('2015'!AK113,"AAAAAG239hk=")</f>
        <v>#VALUE!</v>
      </c>
      <c r="AA28" t="e">
        <f>AND('2015'!AL113,"AAAAAG239ho=")</f>
        <v>#VALUE!</v>
      </c>
      <c r="AB28" t="e">
        <f>AND('2015'!AM113,"AAAAAG239hs=")</f>
        <v>#VALUE!</v>
      </c>
      <c r="AC28" t="e">
        <f>AND('2015'!AN113,"AAAAAG239hw=")</f>
        <v>#VALUE!</v>
      </c>
      <c r="AD28" t="e">
        <f>AND('2015'!AO113,"AAAAAG239h0=")</f>
        <v>#VALUE!</v>
      </c>
      <c r="AE28" t="e">
        <f>AND('2015'!AP113,"AAAAAG239h4=")</f>
        <v>#VALUE!</v>
      </c>
      <c r="AF28" t="e">
        <f>AND('2015'!AQ113,"AAAAAG239h8=")</f>
        <v>#VALUE!</v>
      </c>
      <c r="AG28" t="e">
        <f>AND('2015'!AR113,"AAAAAG239iA=")</f>
        <v>#VALUE!</v>
      </c>
      <c r="AH28" t="e">
        <f>AND('2015'!AS113,"AAAAAG239iE=")</f>
        <v>#VALUE!</v>
      </c>
      <c r="AI28" t="e">
        <f>AND('2015'!AT113,"AAAAAG239iI=")</f>
        <v>#VALUE!</v>
      </c>
      <c r="AJ28" t="e">
        <f>AND('2015'!#REF!,"AAAAAG239iM=")</f>
        <v>#REF!</v>
      </c>
      <c r="AK28" t="e">
        <f>AND('2015'!AU113,"AAAAAG239iQ=")</f>
        <v>#VALUE!</v>
      </c>
      <c r="AL28" t="e">
        <f>AND('2015'!AV113,"AAAAAG239iU=")</f>
        <v>#VALUE!</v>
      </c>
      <c r="AM28" t="e">
        <f>AND('2015'!AW113,"AAAAAG239iY=")</f>
        <v>#VALUE!</v>
      </c>
      <c r="AN28" t="e">
        <f>AND('2015'!AX113,"AAAAAG239ic=")</f>
        <v>#VALUE!</v>
      </c>
      <c r="AO28" t="e">
        <f>AND('2015'!AY113,"AAAAAG239ig=")</f>
        <v>#VALUE!</v>
      </c>
      <c r="AP28" t="e">
        <f>AND('2015'!AZ113,"AAAAAG239ik=")</f>
        <v>#VALUE!</v>
      </c>
      <c r="AQ28" t="e">
        <f>AND('2015'!BA113,"AAAAAG239io=")</f>
        <v>#VALUE!</v>
      </c>
      <c r="AR28" t="e">
        <f>AND('2015'!BB113,"AAAAAG239is=")</f>
        <v>#VALUE!</v>
      </c>
      <c r="AS28" t="e">
        <f>AND('2015'!BC113,"AAAAAG239iw=")</f>
        <v>#VALUE!</v>
      </c>
      <c r="AT28" t="e">
        <f>AND('2015'!BD113,"AAAAAG239i0=")</f>
        <v>#VALUE!</v>
      </c>
      <c r="AU28" t="e">
        <f>AND('2015'!BE113,"AAAAAG239i4=")</f>
        <v>#VALUE!</v>
      </c>
      <c r="AV28" t="e">
        <f>AND('2015'!BF113,"AAAAAG239i8=")</f>
        <v>#VALUE!</v>
      </c>
      <c r="AW28" t="e">
        <f>AND('2015'!BG113,"AAAAAG239jA=")</f>
        <v>#VALUE!</v>
      </c>
      <c r="AX28" t="e">
        <f>AND('2015'!BH113,"AAAAAG239jE=")</f>
        <v>#VALUE!</v>
      </c>
      <c r="AY28" t="e">
        <f>AND('2015'!BI113,"AAAAAG239jI=")</f>
        <v>#VALUE!</v>
      </c>
      <c r="AZ28" t="e">
        <f>AND('2015'!#REF!,"AAAAAG239jM=")</f>
        <v>#REF!</v>
      </c>
      <c r="BA28" t="e">
        <f>AND('2015'!BJ113,"AAAAAG239jQ=")</f>
        <v>#VALUE!</v>
      </c>
      <c r="BB28" t="e">
        <f>AND('2015'!BK113,"AAAAAG239jU=")</f>
        <v>#VALUE!</v>
      </c>
      <c r="BC28" t="e">
        <f>AND('2015'!BL113,"AAAAAG239jY=")</f>
        <v>#VALUE!</v>
      </c>
      <c r="BD28" t="e">
        <f>AND('2015'!BM113,"AAAAAG239jc=")</f>
        <v>#VALUE!</v>
      </c>
      <c r="BE28" t="e">
        <f>AND('2015'!BY113,"AAAAAG239jg=")</f>
        <v>#VALUE!</v>
      </c>
      <c r="BF28">
        <f>IF('2015'!120:120,"AAAAAG239jk=",0)</f>
        <v>0</v>
      </c>
      <c r="BG28" t="e">
        <f>AND('2015'!A120,"AAAAAG239jo=")</f>
        <v>#VALUE!</v>
      </c>
      <c r="BH28" t="e">
        <f>AND('2015'!B120,"AAAAAG239js=")</f>
        <v>#VALUE!</v>
      </c>
      <c r="BI28" t="e">
        <f>AND('2015'!C120,"AAAAAG239jw=")</f>
        <v>#VALUE!</v>
      </c>
      <c r="BJ28" t="e">
        <f>AND('2015'!D120,"AAAAAG239j0=")</f>
        <v>#VALUE!</v>
      </c>
      <c r="BK28" t="e">
        <f>AND('2015'!E120,"AAAAAG239j4=")</f>
        <v>#VALUE!</v>
      </c>
      <c r="BL28" t="e">
        <f>AND('2015'!F120,"AAAAAG239j8=")</f>
        <v>#VALUE!</v>
      </c>
      <c r="BM28" t="e">
        <f>AND('2015'!G120,"AAAAAG239kA=")</f>
        <v>#VALUE!</v>
      </c>
      <c r="BN28" t="e">
        <f>AND('2015'!H120,"AAAAAG239kE=")</f>
        <v>#VALUE!</v>
      </c>
      <c r="BO28" t="e">
        <f>AND('2015'!I120,"AAAAAG239kI=")</f>
        <v>#VALUE!</v>
      </c>
      <c r="BP28" t="e">
        <f>AND('2015'!J120,"AAAAAG239kM=")</f>
        <v>#VALUE!</v>
      </c>
      <c r="BQ28" t="e">
        <f>AND('2015'!K120,"AAAAAG239kQ=")</f>
        <v>#VALUE!</v>
      </c>
      <c r="BR28" t="e">
        <f>AND('2015'!L120,"AAAAAG239kU=")</f>
        <v>#VALUE!</v>
      </c>
      <c r="BS28" t="e">
        <f>AND('2015'!M120,"AAAAAG239kY=")</f>
        <v>#VALUE!</v>
      </c>
      <c r="BT28" t="e">
        <f>AND('2015'!N120,"AAAAAG239kc=")</f>
        <v>#VALUE!</v>
      </c>
      <c r="BU28" t="e">
        <f>AND('2015'!O120,"AAAAAG239kg=")</f>
        <v>#VALUE!</v>
      </c>
      <c r="BV28" t="e">
        <f>AND('2015'!P120,"AAAAAG239kk=")</f>
        <v>#VALUE!</v>
      </c>
      <c r="BW28" t="e">
        <f>AND('2015'!Q120,"AAAAAG239ko=")</f>
        <v>#VALUE!</v>
      </c>
      <c r="BX28" t="e">
        <f>AND('2015'!R120,"AAAAAG239ks=")</f>
        <v>#VALUE!</v>
      </c>
      <c r="BY28" t="e">
        <f>AND('2015'!S120,"AAAAAG239kw=")</f>
        <v>#VALUE!</v>
      </c>
      <c r="BZ28" t="e">
        <f>AND('2015'!T120,"AAAAAG239k0=")</f>
        <v>#VALUE!</v>
      </c>
      <c r="CA28" t="e">
        <f>AND('2015'!U120,"AAAAAG239k4=")</f>
        <v>#VALUE!</v>
      </c>
      <c r="CB28" t="e">
        <f>AND('2015'!V120,"AAAAAG239k8=")</f>
        <v>#VALUE!</v>
      </c>
      <c r="CC28" t="e">
        <f>AND('2015'!W120,"AAAAAG239lA=")</f>
        <v>#VALUE!</v>
      </c>
      <c r="CD28" t="e">
        <f>AND('2015'!X120,"AAAAAG239lE=")</f>
        <v>#VALUE!</v>
      </c>
      <c r="CE28" t="e">
        <f>AND('2015'!Y120,"AAAAAG239lI=")</f>
        <v>#VALUE!</v>
      </c>
      <c r="CF28" t="e">
        <f>AND('2015'!Z120,"AAAAAG239lM=")</f>
        <v>#VALUE!</v>
      </c>
      <c r="CG28" t="e">
        <f>AND('2015'!AA120,"AAAAAG239lQ=")</f>
        <v>#VALUE!</v>
      </c>
      <c r="CH28" t="e">
        <f>AND('2015'!AB120,"AAAAAG239lU=")</f>
        <v>#VALUE!</v>
      </c>
      <c r="CI28" t="e">
        <f>AND('2015'!AC120,"AAAAAG239lY=")</f>
        <v>#VALUE!</v>
      </c>
      <c r="CJ28" t="e">
        <f>AND('2015'!AD120,"AAAAAG239lc=")</f>
        <v>#VALUE!</v>
      </c>
      <c r="CK28" t="e">
        <f>AND('2015'!AE120,"AAAAAG239lg=")</f>
        <v>#VALUE!</v>
      </c>
      <c r="CL28" t="e">
        <f>AND('2015'!AF120,"AAAAAG239lk=")</f>
        <v>#VALUE!</v>
      </c>
      <c r="CM28" t="e">
        <f>AND('2015'!AG120,"AAAAAG239lo=")</f>
        <v>#VALUE!</v>
      </c>
      <c r="CN28" t="e">
        <f>AND('2015'!AH120,"AAAAAG239ls=")</f>
        <v>#VALUE!</v>
      </c>
      <c r="CO28" t="e">
        <f>AND('2015'!AI120,"AAAAAG239lw=")</f>
        <v>#VALUE!</v>
      </c>
      <c r="CP28" t="e">
        <f>AND('2015'!AJ120,"AAAAAG239l0=")</f>
        <v>#VALUE!</v>
      </c>
      <c r="CQ28" t="e">
        <f>AND('2015'!AK120,"AAAAAG239l4=")</f>
        <v>#VALUE!</v>
      </c>
      <c r="CR28" t="e">
        <f>AND('2015'!AL120,"AAAAAG239l8=")</f>
        <v>#VALUE!</v>
      </c>
      <c r="CS28" t="e">
        <f>AND('2015'!AM120,"AAAAAG239mA=")</f>
        <v>#VALUE!</v>
      </c>
      <c r="CT28" t="e">
        <f>AND('2015'!AN120,"AAAAAG239mE=")</f>
        <v>#VALUE!</v>
      </c>
      <c r="CU28" t="e">
        <f>AND('2015'!AO120,"AAAAAG239mI=")</f>
        <v>#VALUE!</v>
      </c>
      <c r="CV28" t="e">
        <f>AND('2015'!AP120,"AAAAAG239mM=")</f>
        <v>#VALUE!</v>
      </c>
      <c r="CW28" t="e">
        <f>AND('2015'!AQ120,"AAAAAG239mQ=")</f>
        <v>#VALUE!</v>
      </c>
      <c r="CX28" t="e">
        <f>AND('2015'!AR120,"AAAAAG239mU=")</f>
        <v>#VALUE!</v>
      </c>
      <c r="CY28" t="e">
        <f>AND('2015'!AS120,"AAAAAG239mY=")</f>
        <v>#VALUE!</v>
      </c>
      <c r="CZ28" t="e">
        <f>AND('2015'!AT120,"AAAAAG239mc=")</f>
        <v>#VALUE!</v>
      </c>
      <c r="DA28" t="e">
        <f>AND('2015'!#REF!,"AAAAAG239mg=")</f>
        <v>#REF!</v>
      </c>
      <c r="DB28" t="e">
        <f>AND('2015'!AU120,"AAAAAG239mk=")</f>
        <v>#VALUE!</v>
      </c>
      <c r="DC28" t="e">
        <f>AND('2015'!AV120,"AAAAAG239mo=")</f>
        <v>#VALUE!</v>
      </c>
      <c r="DD28" t="e">
        <f>AND('2015'!AW120,"AAAAAG239ms=")</f>
        <v>#VALUE!</v>
      </c>
      <c r="DE28" t="e">
        <f>AND('2015'!AX120,"AAAAAG239mw=")</f>
        <v>#VALUE!</v>
      </c>
      <c r="DF28" t="e">
        <f>AND('2015'!AY120,"AAAAAG239m0=")</f>
        <v>#VALUE!</v>
      </c>
      <c r="DG28" t="e">
        <f>AND('2015'!AZ120,"AAAAAG239m4=")</f>
        <v>#VALUE!</v>
      </c>
      <c r="DH28" t="e">
        <f>AND('2015'!BA120,"AAAAAG239m8=")</f>
        <v>#VALUE!</v>
      </c>
      <c r="DI28" t="e">
        <f>AND('2015'!BB120,"AAAAAG239nA=")</f>
        <v>#VALUE!</v>
      </c>
      <c r="DJ28" t="e">
        <f>AND('2015'!BC120,"AAAAAG239nE=")</f>
        <v>#VALUE!</v>
      </c>
      <c r="DK28" t="e">
        <f>AND('2015'!BD120,"AAAAAG239nI=")</f>
        <v>#VALUE!</v>
      </c>
      <c r="DL28" t="e">
        <f>AND('2015'!BE120,"AAAAAG239nM=")</f>
        <v>#VALUE!</v>
      </c>
      <c r="DM28" t="e">
        <f>AND('2015'!BF120,"AAAAAG239nQ=")</f>
        <v>#VALUE!</v>
      </c>
      <c r="DN28" t="e">
        <f>AND('2015'!BG120,"AAAAAG239nU=")</f>
        <v>#VALUE!</v>
      </c>
      <c r="DO28" t="e">
        <f>AND('2015'!BH120,"AAAAAG239nY=")</f>
        <v>#VALUE!</v>
      </c>
      <c r="DP28" t="e">
        <f>AND('2015'!BI120,"AAAAAG239nc=")</f>
        <v>#VALUE!</v>
      </c>
      <c r="DQ28" t="e">
        <f>AND('2015'!#REF!,"AAAAAG239ng=")</f>
        <v>#REF!</v>
      </c>
      <c r="DR28" t="e">
        <f>AND('2015'!BJ120,"AAAAAG239nk=")</f>
        <v>#VALUE!</v>
      </c>
      <c r="DS28" t="e">
        <f>AND('2015'!BK120,"AAAAAG239no=")</f>
        <v>#VALUE!</v>
      </c>
      <c r="DT28" t="e">
        <f>AND('2015'!BL120,"AAAAAG239ns=")</f>
        <v>#VALUE!</v>
      </c>
      <c r="DU28" t="e">
        <f>AND('2015'!BM120,"AAAAAG239nw=")</f>
        <v>#VALUE!</v>
      </c>
      <c r="DV28" t="e">
        <f>AND('2015'!BY120,"AAAAAG239n0=")</f>
        <v>#VALUE!</v>
      </c>
      <c r="DW28">
        <f>IF('2015'!121:121,"AAAAAG239n4=",0)</f>
        <v>0</v>
      </c>
      <c r="DX28" t="e">
        <f>AND('2015'!A121,"AAAAAG239n8=")</f>
        <v>#VALUE!</v>
      </c>
      <c r="DY28" t="e">
        <f>AND('2015'!B121,"AAAAAG239oA=")</f>
        <v>#VALUE!</v>
      </c>
      <c r="DZ28" t="e">
        <f>AND('2015'!C121,"AAAAAG239oE=")</f>
        <v>#VALUE!</v>
      </c>
      <c r="EA28" t="e">
        <f>AND('2015'!D121,"AAAAAG239oI=")</f>
        <v>#VALUE!</v>
      </c>
      <c r="EB28" t="e">
        <f>AND('2015'!E121,"AAAAAG239oM=")</f>
        <v>#VALUE!</v>
      </c>
      <c r="EC28" t="e">
        <f>AND('2015'!F121,"AAAAAG239oQ=")</f>
        <v>#VALUE!</v>
      </c>
      <c r="ED28" t="e">
        <f>AND('2015'!G121,"AAAAAG239oU=")</f>
        <v>#VALUE!</v>
      </c>
      <c r="EE28" t="e">
        <f>AND('2015'!H121,"AAAAAG239oY=")</f>
        <v>#VALUE!</v>
      </c>
      <c r="EF28" t="e">
        <f>AND('2015'!I121,"AAAAAG239oc=")</f>
        <v>#VALUE!</v>
      </c>
      <c r="EG28" t="e">
        <f>AND('2015'!J121,"AAAAAG239og=")</f>
        <v>#VALUE!</v>
      </c>
      <c r="EH28" t="e">
        <f>AND('2015'!K121,"AAAAAG239ok=")</f>
        <v>#VALUE!</v>
      </c>
      <c r="EI28" t="e">
        <f>AND('2015'!L121,"AAAAAG239oo=")</f>
        <v>#VALUE!</v>
      </c>
      <c r="EJ28" t="e">
        <f>AND('2015'!M121,"AAAAAG239os=")</f>
        <v>#VALUE!</v>
      </c>
      <c r="EK28" t="e">
        <f>AND('2015'!N121,"AAAAAG239ow=")</f>
        <v>#VALUE!</v>
      </c>
      <c r="EL28" t="e">
        <f>AND('2015'!O121,"AAAAAG239o0=")</f>
        <v>#VALUE!</v>
      </c>
      <c r="EM28" t="e">
        <f>AND('2015'!P121,"AAAAAG239o4=")</f>
        <v>#VALUE!</v>
      </c>
      <c r="EN28" t="e">
        <f>AND('2015'!Q121,"AAAAAG239o8=")</f>
        <v>#VALUE!</v>
      </c>
      <c r="EO28" t="e">
        <f>AND('2015'!R121,"AAAAAG239pA=")</f>
        <v>#VALUE!</v>
      </c>
      <c r="EP28" t="e">
        <f>AND('2015'!S121,"AAAAAG239pE=")</f>
        <v>#VALUE!</v>
      </c>
      <c r="EQ28" t="e">
        <f>AND('2015'!T121,"AAAAAG239pI=")</f>
        <v>#VALUE!</v>
      </c>
      <c r="ER28" t="e">
        <f>AND('2015'!U121,"AAAAAG239pM=")</f>
        <v>#VALUE!</v>
      </c>
      <c r="ES28" t="e">
        <f>AND('2015'!V121,"AAAAAG239pQ=")</f>
        <v>#VALUE!</v>
      </c>
      <c r="ET28" t="e">
        <f>AND('2015'!W121,"AAAAAG239pU=")</f>
        <v>#VALUE!</v>
      </c>
      <c r="EU28" t="e">
        <f>AND('2015'!X121,"AAAAAG239pY=")</f>
        <v>#VALUE!</v>
      </c>
      <c r="EV28" t="e">
        <f>AND('2015'!Y121,"AAAAAG239pc=")</f>
        <v>#VALUE!</v>
      </c>
      <c r="EW28" t="e">
        <f>AND('2015'!Z121,"AAAAAG239pg=")</f>
        <v>#VALUE!</v>
      </c>
      <c r="EX28" t="e">
        <f>AND('2015'!AA121,"AAAAAG239pk=")</f>
        <v>#VALUE!</v>
      </c>
      <c r="EY28" t="e">
        <f>AND('2015'!AB121,"AAAAAG239po=")</f>
        <v>#VALUE!</v>
      </c>
      <c r="EZ28" t="e">
        <f>AND('2015'!AC121,"AAAAAG239ps=")</f>
        <v>#VALUE!</v>
      </c>
      <c r="FA28" t="e">
        <f>AND('2015'!AD121,"AAAAAG239pw=")</f>
        <v>#VALUE!</v>
      </c>
      <c r="FB28" t="e">
        <f>AND('2015'!AE121,"AAAAAG239p0=")</f>
        <v>#VALUE!</v>
      </c>
      <c r="FC28" t="e">
        <f>AND('2015'!AF121,"AAAAAG239p4=")</f>
        <v>#VALUE!</v>
      </c>
      <c r="FD28" t="e">
        <f>AND('2015'!AG121,"AAAAAG239p8=")</f>
        <v>#VALUE!</v>
      </c>
      <c r="FE28" t="e">
        <f>AND('2015'!AH121,"AAAAAG239qA=")</f>
        <v>#VALUE!</v>
      </c>
      <c r="FF28" t="e">
        <f>AND('2015'!AI121,"AAAAAG239qE=")</f>
        <v>#VALUE!</v>
      </c>
      <c r="FG28" t="e">
        <f>AND('2015'!AJ121,"AAAAAG239qI=")</f>
        <v>#VALUE!</v>
      </c>
      <c r="FH28" t="e">
        <f>AND('2015'!AK121,"AAAAAG239qM=")</f>
        <v>#VALUE!</v>
      </c>
      <c r="FI28" t="e">
        <f>AND('2015'!AL121,"AAAAAG239qQ=")</f>
        <v>#VALUE!</v>
      </c>
      <c r="FJ28" t="e">
        <f>AND('2015'!AM121,"AAAAAG239qU=")</f>
        <v>#VALUE!</v>
      </c>
      <c r="FK28" t="e">
        <f>AND('2015'!AN121,"AAAAAG239qY=")</f>
        <v>#VALUE!</v>
      </c>
      <c r="FL28" t="e">
        <f>AND('2015'!AO121,"AAAAAG239qc=")</f>
        <v>#VALUE!</v>
      </c>
      <c r="FM28" t="e">
        <f>AND('2015'!AP121,"AAAAAG239qg=")</f>
        <v>#VALUE!</v>
      </c>
      <c r="FN28" t="e">
        <f>AND('2015'!AQ121,"AAAAAG239qk=")</f>
        <v>#VALUE!</v>
      </c>
      <c r="FO28" t="e">
        <f>AND('2015'!AR121,"AAAAAG239qo=")</f>
        <v>#VALUE!</v>
      </c>
      <c r="FP28" t="e">
        <f>AND('2015'!AS121,"AAAAAG239qs=")</f>
        <v>#VALUE!</v>
      </c>
      <c r="FQ28" t="e">
        <f>AND('2015'!AT121,"AAAAAG239qw=")</f>
        <v>#VALUE!</v>
      </c>
      <c r="FR28" t="e">
        <f>AND('2015'!#REF!,"AAAAAG239q0=")</f>
        <v>#REF!</v>
      </c>
      <c r="FS28" t="e">
        <f>AND('2015'!AU121,"AAAAAG239q4=")</f>
        <v>#VALUE!</v>
      </c>
      <c r="FT28" t="e">
        <f>AND('2015'!AV121,"AAAAAG239q8=")</f>
        <v>#VALUE!</v>
      </c>
      <c r="FU28" t="e">
        <f>AND('2015'!AW121,"AAAAAG239rA=")</f>
        <v>#VALUE!</v>
      </c>
      <c r="FV28" t="e">
        <f>AND('2015'!AX121,"AAAAAG239rE=")</f>
        <v>#VALUE!</v>
      </c>
      <c r="FW28" t="e">
        <f>AND('2015'!AY121,"AAAAAG239rI=")</f>
        <v>#VALUE!</v>
      </c>
      <c r="FX28" t="e">
        <f>AND('2015'!AZ121,"AAAAAG239rM=")</f>
        <v>#VALUE!</v>
      </c>
      <c r="FY28" t="e">
        <f>AND('2015'!BA121,"AAAAAG239rQ=")</f>
        <v>#VALUE!</v>
      </c>
      <c r="FZ28" t="e">
        <f>AND('2015'!BB121,"AAAAAG239rU=")</f>
        <v>#VALUE!</v>
      </c>
      <c r="GA28" t="e">
        <f>AND('2015'!BC121,"AAAAAG239rY=")</f>
        <v>#VALUE!</v>
      </c>
      <c r="GB28" t="e">
        <f>AND('2015'!BD121,"AAAAAG239rc=")</f>
        <v>#VALUE!</v>
      </c>
      <c r="GC28" t="e">
        <f>AND('2015'!BE121,"AAAAAG239rg=")</f>
        <v>#VALUE!</v>
      </c>
      <c r="GD28" t="e">
        <f>AND('2015'!BF121,"AAAAAG239rk=")</f>
        <v>#VALUE!</v>
      </c>
      <c r="GE28" t="e">
        <f>AND('2015'!BG121,"AAAAAG239ro=")</f>
        <v>#VALUE!</v>
      </c>
      <c r="GF28" t="e">
        <f>AND('2015'!BH121,"AAAAAG239rs=")</f>
        <v>#VALUE!</v>
      </c>
      <c r="GG28" t="e">
        <f>AND('2015'!BI121,"AAAAAG239rw=")</f>
        <v>#VALUE!</v>
      </c>
      <c r="GH28" t="e">
        <f>AND('2015'!#REF!,"AAAAAG239r0=")</f>
        <v>#REF!</v>
      </c>
      <c r="GI28" t="e">
        <f>AND('2015'!BJ121,"AAAAAG239r4=")</f>
        <v>#VALUE!</v>
      </c>
      <c r="GJ28" t="e">
        <f>AND('2015'!BK121,"AAAAAG239r8=")</f>
        <v>#VALUE!</v>
      </c>
      <c r="GK28" t="e">
        <f>AND('2015'!BL121,"AAAAAG239sA=")</f>
        <v>#VALUE!</v>
      </c>
      <c r="GL28" t="e">
        <f>AND('2015'!BM121,"AAAAAG239sE=")</f>
        <v>#VALUE!</v>
      </c>
      <c r="GM28" t="e">
        <f>AND('2015'!BY121,"AAAAAG239sI=")</f>
        <v>#VALUE!</v>
      </c>
      <c r="GN28">
        <f>IF('2015'!122:122,"AAAAAG239sM=",0)</f>
        <v>0</v>
      </c>
      <c r="GO28" t="e">
        <f>AND('2015'!A122,"AAAAAG239sQ=")</f>
        <v>#VALUE!</v>
      </c>
      <c r="GP28" t="e">
        <f>AND('2015'!B122,"AAAAAG239sU=")</f>
        <v>#VALUE!</v>
      </c>
      <c r="GQ28" t="e">
        <f>AND('2015'!C122,"AAAAAG239sY=")</f>
        <v>#VALUE!</v>
      </c>
      <c r="GR28" t="e">
        <f>AND('2015'!D122,"AAAAAG239sc=")</f>
        <v>#VALUE!</v>
      </c>
      <c r="GS28" t="e">
        <f>AND('2015'!E122,"AAAAAG239sg=")</f>
        <v>#VALUE!</v>
      </c>
      <c r="GT28" t="e">
        <f>AND('2015'!F122,"AAAAAG239sk=")</f>
        <v>#VALUE!</v>
      </c>
      <c r="GU28" t="e">
        <f>AND('2015'!G122,"AAAAAG239so=")</f>
        <v>#VALUE!</v>
      </c>
      <c r="GV28" t="e">
        <f>AND('2015'!H122,"AAAAAG239ss=")</f>
        <v>#VALUE!</v>
      </c>
      <c r="GW28" t="e">
        <f>AND('2015'!I122,"AAAAAG239sw=")</f>
        <v>#VALUE!</v>
      </c>
      <c r="GX28" t="e">
        <f>AND('2015'!J122,"AAAAAG239s0=")</f>
        <v>#VALUE!</v>
      </c>
      <c r="GY28" t="e">
        <f>AND('2015'!K122,"AAAAAG239s4=")</f>
        <v>#VALUE!</v>
      </c>
      <c r="GZ28" t="e">
        <f>AND('2015'!L122,"AAAAAG239s8=")</f>
        <v>#VALUE!</v>
      </c>
      <c r="HA28" t="e">
        <f>AND('2015'!M122,"AAAAAG239tA=")</f>
        <v>#VALUE!</v>
      </c>
      <c r="HB28" t="e">
        <f>AND('2015'!N122,"AAAAAG239tE=")</f>
        <v>#VALUE!</v>
      </c>
      <c r="HC28" t="e">
        <f>AND('2015'!O122,"AAAAAG239tI=")</f>
        <v>#VALUE!</v>
      </c>
      <c r="HD28" t="e">
        <f>AND('2015'!P122,"AAAAAG239tM=")</f>
        <v>#VALUE!</v>
      </c>
      <c r="HE28" t="e">
        <f>AND('2015'!Q122,"AAAAAG239tQ=")</f>
        <v>#VALUE!</v>
      </c>
      <c r="HF28" t="e">
        <f>AND('2015'!R122,"AAAAAG239tU=")</f>
        <v>#VALUE!</v>
      </c>
      <c r="HG28" t="e">
        <f>AND('2015'!S122,"AAAAAG239tY=")</f>
        <v>#VALUE!</v>
      </c>
      <c r="HH28" t="e">
        <f>AND('2015'!T122,"AAAAAG239tc=")</f>
        <v>#VALUE!</v>
      </c>
      <c r="HI28" t="e">
        <f>AND('2015'!U122,"AAAAAG239tg=")</f>
        <v>#VALUE!</v>
      </c>
      <c r="HJ28" t="e">
        <f>AND('2015'!V122,"AAAAAG239tk=")</f>
        <v>#VALUE!</v>
      </c>
      <c r="HK28" t="e">
        <f>AND('2015'!W122,"AAAAAG239to=")</f>
        <v>#VALUE!</v>
      </c>
      <c r="HL28" t="e">
        <f>AND('2015'!X122,"AAAAAG239ts=")</f>
        <v>#VALUE!</v>
      </c>
      <c r="HM28" t="e">
        <f>AND('2015'!Y122,"AAAAAG239tw=")</f>
        <v>#VALUE!</v>
      </c>
      <c r="HN28" t="e">
        <f>AND('2015'!Z122,"AAAAAG239t0=")</f>
        <v>#VALUE!</v>
      </c>
      <c r="HO28" t="e">
        <f>AND('2015'!AA122,"AAAAAG239t4=")</f>
        <v>#VALUE!</v>
      </c>
      <c r="HP28" t="e">
        <f>AND('2015'!AB122,"AAAAAG239t8=")</f>
        <v>#VALUE!</v>
      </c>
      <c r="HQ28" t="e">
        <f>AND('2015'!AC122,"AAAAAG239uA=")</f>
        <v>#VALUE!</v>
      </c>
      <c r="HR28" t="e">
        <f>AND('2015'!AD122,"AAAAAG239uE=")</f>
        <v>#VALUE!</v>
      </c>
      <c r="HS28" t="e">
        <f>AND('2015'!AE122,"AAAAAG239uI=")</f>
        <v>#VALUE!</v>
      </c>
      <c r="HT28" t="e">
        <f>AND('2015'!AF122,"AAAAAG239uM=")</f>
        <v>#VALUE!</v>
      </c>
      <c r="HU28" t="e">
        <f>AND('2015'!AG122,"AAAAAG239uQ=")</f>
        <v>#VALUE!</v>
      </c>
      <c r="HV28" t="e">
        <f>AND('2015'!AH122,"AAAAAG239uU=")</f>
        <v>#VALUE!</v>
      </c>
      <c r="HW28" t="e">
        <f>AND('2015'!AI122,"AAAAAG239uY=")</f>
        <v>#VALUE!</v>
      </c>
      <c r="HX28" t="e">
        <f>AND('2015'!AJ122,"AAAAAG239uc=")</f>
        <v>#VALUE!</v>
      </c>
      <c r="HY28" t="e">
        <f>AND('2015'!AK122,"AAAAAG239ug=")</f>
        <v>#VALUE!</v>
      </c>
      <c r="HZ28" t="e">
        <f>AND('2015'!AL122,"AAAAAG239uk=")</f>
        <v>#VALUE!</v>
      </c>
      <c r="IA28" t="e">
        <f>AND('2015'!AM122,"AAAAAG239uo=")</f>
        <v>#VALUE!</v>
      </c>
      <c r="IB28" t="e">
        <f>AND('2015'!AN122,"AAAAAG239us=")</f>
        <v>#VALUE!</v>
      </c>
      <c r="IC28" t="e">
        <f>AND('2015'!AO122,"AAAAAG239uw=")</f>
        <v>#VALUE!</v>
      </c>
      <c r="ID28" t="e">
        <f>AND('2015'!AP122,"AAAAAG239u0=")</f>
        <v>#VALUE!</v>
      </c>
      <c r="IE28" t="e">
        <f>AND('2015'!AQ122,"AAAAAG239u4=")</f>
        <v>#VALUE!</v>
      </c>
      <c r="IF28" t="e">
        <f>AND('2015'!AR122,"AAAAAG239u8=")</f>
        <v>#VALUE!</v>
      </c>
      <c r="IG28" t="e">
        <f>AND('2015'!AS122,"AAAAAG239vA=")</f>
        <v>#VALUE!</v>
      </c>
      <c r="IH28" t="e">
        <f>AND('2015'!AT122,"AAAAAG239vE=")</f>
        <v>#VALUE!</v>
      </c>
      <c r="II28" t="e">
        <f>AND('2015'!#REF!,"AAAAAG239vI=")</f>
        <v>#REF!</v>
      </c>
      <c r="IJ28" t="e">
        <f>AND('2015'!AU122,"AAAAAG239vM=")</f>
        <v>#VALUE!</v>
      </c>
      <c r="IK28" t="e">
        <f>AND('2015'!AV122,"AAAAAG239vQ=")</f>
        <v>#VALUE!</v>
      </c>
      <c r="IL28" t="e">
        <f>AND('2015'!AW122,"AAAAAG239vU=")</f>
        <v>#VALUE!</v>
      </c>
      <c r="IM28" t="e">
        <f>AND('2015'!AX122,"AAAAAG239vY=")</f>
        <v>#VALUE!</v>
      </c>
      <c r="IN28" t="e">
        <f>AND('2015'!AY122,"AAAAAG239vc=")</f>
        <v>#VALUE!</v>
      </c>
      <c r="IO28" t="e">
        <f>AND('2015'!AZ122,"AAAAAG239vg=")</f>
        <v>#VALUE!</v>
      </c>
      <c r="IP28" t="e">
        <f>AND('2015'!BA122,"AAAAAG239vk=")</f>
        <v>#VALUE!</v>
      </c>
      <c r="IQ28" t="e">
        <f>AND('2015'!BB122,"AAAAAG239vo=")</f>
        <v>#VALUE!</v>
      </c>
      <c r="IR28" t="e">
        <f>AND('2015'!BC122,"AAAAAG239vs=")</f>
        <v>#VALUE!</v>
      </c>
      <c r="IS28" t="e">
        <f>AND('2015'!BD122,"AAAAAG239vw=")</f>
        <v>#VALUE!</v>
      </c>
      <c r="IT28" t="e">
        <f>AND('2015'!BE122,"AAAAAG239v0=")</f>
        <v>#VALUE!</v>
      </c>
      <c r="IU28" t="e">
        <f>AND('2015'!BF122,"AAAAAG239v4=")</f>
        <v>#VALUE!</v>
      </c>
      <c r="IV28" t="e">
        <f>AND('2015'!BG122,"AAAAAG239v8=")</f>
        <v>#VALUE!</v>
      </c>
    </row>
    <row r="29" spans="1:256" x14ac:dyDescent="0.25">
      <c r="A29" t="e">
        <f>AND('2015'!BH122,"AAAAAGdPZAA=")</f>
        <v>#VALUE!</v>
      </c>
      <c r="B29" t="e">
        <f>AND('2015'!BI122,"AAAAAGdPZAE=")</f>
        <v>#VALUE!</v>
      </c>
      <c r="C29" t="e">
        <f>AND('2015'!#REF!,"AAAAAGdPZAI=")</f>
        <v>#REF!</v>
      </c>
      <c r="D29" t="e">
        <f>AND('2015'!BJ122,"AAAAAGdPZAM=")</f>
        <v>#VALUE!</v>
      </c>
      <c r="E29" t="e">
        <f>AND('2015'!BK122,"AAAAAGdPZAQ=")</f>
        <v>#VALUE!</v>
      </c>
      <c r="F29" t="e">
        <f>AND('2015'!BL122,"AAAAAGdPZAU=")</f>
        <v>#VALUE!</v>
      </c>
      <c r="G29" t="e">
        <f>AND('2015'!BM122,"AAAAAGdPZAY=")</f>
        <v>#VALUE!</v>
      </c>
      <c r="H29" t="e">
        <f>AND('2015'!BY122,"AAAAAGdPZAc=")</f>
        <v>#VALUE!</v>
      </c>
      <c r="I29">
        <f>IF('2015'!123:123,"AAAAAGdPZAg=",0)</f>
        <v>0</v>
      </c>
      <c r="J29" t="e">
        <f>AND('2015'!A123,"AAAAAGdPZAk=")</f>
        <v>#VALUE!</v>
      </c>
      <c r="K29" t="e">
        <f>AND('2015'!B123,"AAAAAGdPZAo=")</f>
        <v>#VALUE!</v>
      </c>
      <c r="L29" t="e">
        <f>AND('2015'!C123,"AAAAAGdPZAs=")</f>
        <v>#VALUE!</v>
      </c>
      <c r="M29" t="e">
        <f>AND('2015'!D123,"AAAAAGdPZAw=")</f>
        <v>#VALUE!</v>
      </c>
      <c r="N29" t="e">
        <f>AND('2015'!E123,"AAAAAGdPZA0=")</f>
        <v>#VALUE!</v>
      </c>
      <c r="O29" t="e">
        <f>AND('2015'!F123,"AAAAAGdPZA4=")</f>
        <v>#VALUE!</v>
      </c>
      <c r="P29" t="e">
        <f>AND('2015'!G123,"AAAAAGdPZA8=")</f>
        <v>#VALUE!</v>
      </c>
      <c r="Q29" t="e">
        <f>AND('2015'!H123,"AAAAAGdPZBA=")</f>
        <v>#VALUE!</v>
      </c>
      <c r="R29" t="e">
        <f>AND('2015'!I123,"AAAAAGdPZBE=")</f>
        <v>#VALUE!</v>
      </c>
      <c r="S29" t="e">
        <f>AND('2015'!J123,"AAAAAGdPZBI=")</f>
        <v>#VALUE!</v>
      </c>
      <c r="T29" t="e">
        <f>AND('2015'!K123,"AAAAAGdPZBM=")</f>
        <v>#VALUE!</v>
      </c>
      <c r="U29" t="e">
        <f>AND('2015'!L123,"AAAAAGdPZBQ=")</f>
        <v>#VALUE!</v>
      </c>
      <c r="V29" t="e">
        <f>AND('2015'!M123,"AAAAAGdPZBU=")</f>
        <v>#VALUE!</v>
      </c>
      <c r="W29" t="e">
        <f>AND('2015'!N123,"AAAAAGdPZBY=")</f>
        <v>#VALUE!</v>
      </c>
      <c r="X29" t="e">
        <f>AND('2015'!O123,"AAAAAGdPZBc=")</f>
        <v>#VALUE!</v>
      </c>
      <c r="Y29" t="e">
        <f>AND('2015'!P123,"AAAAAGdPZBg=")</f>
        <v>#VALUE!</v>
      </c>
      <c r="Z29" t="e">
        <f>AND('2015'!Q123,"AAAAAGdPZBk=")</f>
        <v>#VALUE!</v>
      </c>
      <c r="AA29" t="e">
        <f>AND('2015'!R123,"AAAAAGdPZBo=")</f>
        <v>#VALUE!</v>
      </c>
      <c r="AB29" t="e">
        <f>AND('2015'!S123,"AAAAAGdPZBs=")</f>
        <v>#VALUE!</v>
      </c>
      <c r="AC29" t="e">
        <f>AND('2015'!T123,"AAAAAGdPZBw=")</f>
        <v>#VALUE!</v>
      </c>
      <c r="AD29" t="e">
        <f>AND('2015'!U123,"AAAAAGdPZB0=")</f>
        <v>#VALUE!</v>
      </c>
      <c r="AE29" t="e">
        <f>AND('2015'!V123,"AAAAAGdPZB4=")</f>
        <v>#VALUE!</v>
      </c>
      <c r="AF29" t="e">
        <f>AND('2015'!W123,"AAAAAGdPZB8=")</f>
        <v>#VALUE!</v>
      </c>
      <c r="AG29" t="e">
        <f>AND('2015'!X123,"AAAAAGdPZCA=")</f>
        <v>#VALUE!</v>
      </c>
      <c r="AH29" t="e">
        <f>AND('2015'!Y123,"AAAAAGdPZCE=")</f>
        <v>#VALUE!</v>
      </c>
      <c r="AI29" t="e">
        <f>AND('2015'!Z123,"AAAAAGdPZCI=")</f>
        <v>#VALUE!</v>
      </c>
      <c r="AJ29" t="e">
        <f>AND('2015'!AA123,"AAAAAGdPZCM=")</f>
        <v>#VALUE!</v>
      </c>
      <c r="AK29" t="e">
        <f>AND('2015'!AB123,"AAAAAGdPZCQ=")</f>
        <v>#VALUE!</v>
      </c>
      <c r="AL29" t="e">
        <f>AND('2015'!AC123,"AAAAAGdPZCU=")</f>
        <v>#VALUE!</v>
      </c>
      <c r="AM29" t="e">
        <f>AND('2015'!AD123,"AAAAAGdPZCY=")</f>
        <v>#VALUE!</v>
      </c>
      <c r="AN29" t="e">
        <f>AND('2015'!AE123,"AAAAAGdPZCc=")</f>
        <v>#VALUE!</v>
      </c>
      <c r="AO29" t="e">
        <f>AND('2015'!AF123,"AAAAAGdPZCg=")</f>
        <v>#VALUE!</v>
      </c>
      <c r="AP29" t="e">
        <f>AND('2015'!AG123,"AAAAAGdPZCk=")</f>
        <v>#VALUE!</v>
      </c>
      <c r="AQ29" t="e">
        <f>AND('2015'!AH123,"AAAAAGdPZCo=")</f>
        <v>#VALUE!</v>
      </c>
      <c r="AR29" t="e">
        <f>AND('2015'!AI123,"AAAAAGdPZCs=")</f>
        <v>#VALUE!</v>
      </c>
      <c r="AS29" t="e">
        <f>AND('2015'!AJ123,"AAAAAGdPZCw=")</f>
        <v>#VALUE!</v>
      </c>
      <c r="AT29" t="e">
        <f>AND('2015'!AK123,"AAAAAGdPZC0=")</f>
        <v>#VALUE!</v>
      </c>
      <c r="AU29" t="e">
        <f>AND('2015'!AL123,"AAAAAGdPZC4=")</f>
        <v>#VALUE!</v>
      </c>
      <c r="AV29" t="e">
        <f>AND('2015'!AM123,"AAAAAGdPZC8=")</f>
        <v>#VALUE!</v>
      </c>
      <c r="AW29" t="e">
        <f>AND('2015'!AN123,"AAAAAGdPZDA=")</f>
        <v>#VALUE!</v>
      </c>
      <c r="AX29" t="e">
        <f>AND('2015'!AO123,"AAAAAGdPZDE=")</f>
        <v>#VALUE!</v>
      </c>
      <c r="AY29" t="e">
        <f>AND('2015'!AP123,"AAAAAGdPZDI=")</f>
        <v>#VALUE!</v>
      </c>
      <c r="AZ29" t="e">
        <f>AND('2015'!AQ123,"AAAAAGdPZDM=")</f>
        <v>#VALUE!</v>
      </c>
      <c r="BA29" t="e">
        <f>AND('2015'!AR123,"AAAAAGdPZDQ=")</f>
        <v>#VALUE!</v>
      </c>
      <c r="BB29" t="e">
        <f>AND('2015'!AS123,"AAAAAGdPZDU=")</f>
        <v>#VALUE!</v>
      </c>
      <c r="BC29" t="e">
        <f>AND('2015'!AT123,"AAAAAGdPZDY=")</f>
        <v>#VALUE!</v>
      </c>
      <c r="BD29" t="e">
        <f>AND('2015'!#REF!,"AAAAAGdPZDc=")</f>
        <v>#REF!</v>
      </c>
      <c r="BE29" t="e">
        <f>AND('2015'!AU123,"AAAAAGdPZDg=")</f>
        <v>#VALUE!</v>
      </c>
      <c r="BF29" t="e">
        <f>AND('2015'!AV123,"AAAAAGdPZDk=")</f>
        <v>#VALUE!</v>
      </c>
      <c r="BG29" t="e">
        <f>AND('2015'!AW123,"AAAAAGdPZDo=")</f>
        <v>#VALUE!</v>
      </c>
      <c r="BH29" t="e">
        <f>AND('2015'!AX123,"AAAAAGdPZDs=")</f>
        <v>#VALUE!</v>
      </c>
      <c r="BI29" t="e">
        <f>AND('2015'!AY123,"AAAAAGdPZDw=")</f>
        <v>#VALUE!</v>
      </c>
      <c r="BJ29" t="e">
        <f>AND('2015'!AZ123,"AAAAAGdPZD0=")</f>
        <v>#VALUE!</v>
      </c>
      <c r="BK29" t="e">
        <f>AND('2015'!BA123,"AAAAAGdPZD4=")</f>
        <v>#VALUE!</v>
      </c>
      <c r="BL29" t="e">
        <f>AND('2015'!BB123,"AAAAAGdPZD8=")</f>
        <v>#VALUE!</v>
      </c>
      <c r="BM29" t="e">
        <f>AND('2015'!BC123,"AAAAAGdPZEA=")</f>
        <v>#VALUE!</v>
      </c>
      <c r="BN29" t="e">
        <f>AND('2015'!BD123,"AAAAAGdPZEE=")</f>
        <v>#VALUE!</v>
      </c>
      <c r="BO29" t="e">
        <f>AND('2015'!BE123,"AAAAAGdPZEI=")</f>
        <v>#VALUE!</v>
      </c>
      <c r="BP29" t="e">
        <f>AND('2015'!BF123,"AAAAAGdPZEM=")</f>
        <v>#VALUE!</v>
      </c>
      <c r="BQ29" t="e">
        <f>AND('2015'!BG123,"AAAAAGdPZEQ=")</f>
        <v>#VALUE!</v>
      </c>
      <c r="BR29" t="e">
        <f>AND('2015'!BH123,"AAAAAGdPZEU=")</f>
        <v>#VALUE!</v>
      </c>
      <c r="BS29" t="e">
        <f>AND('2015'!BI123,"AAAAAGdPZEY=")</f>
        <v>#VALUE!</v>
      </c>
      <c r="BT29" t="e">
        <f>AND('2015'!#REF!,"AAAAAGdPZEc=")</f>
        <v>#REF!</v>
      </c>
      <c r="BU29" t="e">
        <f>AND('2015'!BJ123,"AAAAAGdPZEg=")</f>
        <v>#VALUE!</v>
      </c>
      <c r="BV29" t="e">
        <f>AND('2015'!BK123,"AAAAAGdPZEk=")</f>
        <v>#VALUE!</v>
      </c>
      <c r="BW29" t="e">
        <f>AND('2015'!BL123,"AAAAAGdPZEo=")</f>
        <v>#VALUE!</v>
      </c>
      <c r="BX29" t="e">
        <f>AND('2015'!BM123,"AAAAAGdPZEs=")</f>
        <v>#VALUE!</v>
      </c>
      <c r="BY29" t="e">
        <f>AND('2015'!BY123,"AAAAAGdPZEw=")</f>
        <v>#VALUE!</v>
      </c>
      <c r="BZ29" t="str">
        <f>IF('2015'!124:124,"AAAAAGdPZE0=",0)</f>
        <v>AAAAAGdPZE0=</v>
      </c>
      <c r="CA29" t="e">
        <f>AND('2015'!A124,"AAAAAGdPZE4=")</f>
        <v>#VALUE!</v>
      </c>
      <c r="CB29" t="e">
        <f>AND('2015'!B124,"AAAAAGdPZE8=")</f>
        <v>#VALUE!</v>
      </c>
      <c r="CC29" t="e">
        <f>AND('2015'!C124,"AAAAAGdPZFA=")</f>
        <v>#VALUE!</v>
      </c>
      <c r="CD29" t="e">
        <f>AND('2015'!D124,"AAAAAGdPZFE=")</f>
        <v>#VALUE!</v>
      </c>
      <c r="CE29" t="e">
        <f>AND('2015'!E124,"AAAAAGdPZFI=")</f>
        <v>#VALUE!</v>
      </c>
      <c r="CF29" t="e">
        <f>AND('2015'!F124,"AAAAAGdPZFM=")</f>
        <v>#VALUE!</v>
      </c>
      <c r="CG29" t="e">
        <f>AND('2015'!G124,"AAAAAGdPZFQ=")</f>
        <v>#VALUE!</v>
      </c>
      <c r="CH29" t="e">
        <f>AND('2015'!H124,"AAAAAGdPZFU=")</f>
        <v>#VALUE!</v>
      </c>
      <c r="CI29" t="e">
        <f>AND('2015'!I124,"AAAAAGdPZFY=")</f>
        <v>#VALUE!</v>
      </c>
      <c r="CJ29" t="e">
        <f>AND('2015'!J124,"AAAAAGdPZFc=")</f>
        <v>#VALUE!</v>
      </c>
      <c r="CK29" t="e">
        <f>AND('2015'!K124,"AAAAAGdPZFg=")</f>
        <v>#VALUE!</v>
      </c>
      <c r="CL29" t="e">
        <f>AND('2015'!L124,"AAAAAGdPZFk=")</f>
        <v>#VALUE!</v>
      </c>
      <c r="CM29" t="e">
        <f>AND('2015'!M124,"AAAAAGdPZFo=")</f>
        <v>#VALUE!</v>
      </c>
      <c r="CN29" t="e">
        <f>AND('2015'!N124,"AAAAAGdPZFs=")</f>
        <v>#VALUE!</v>
      </c>
      <c r="CO29" t="e">
        <f>AND('2015'!O124,"AAAAAGdPZFw=")</f>
        <v>#VALUE!</v>
      </c>
      <c r="CP29" t="e">
        <f>AND('2015'!P124,"AAAAAGdPZF0=")</f>
        <v>#VALUE!</v>
      </c>
      <c r="CQ29" t="e">
        <f>AND('2015'!Q124,"AAAAAGdPZF4=")</f>
        <v>#VALUE!</v>
      </c>
      <c r="CR29" t="e">
        <f>AND('2015'!R124,"AAAAAGdPZF8=")</f>
        <v>#VALUE!</v>
      </c>
      <c r="CS29" t="e">
        <f>AND('2015'!S124,"AAAAAGdPZGA=")</f>
        <v>#VALUE!</v>
      </c>
      <c r="CT29" t="e">
        <f>AND('2015'!T124,"AAAAAGdPZGE=")</f>
        <v>#VALUE!</v>
      </c>
      <c r="CU29" t="e">
        <f>AND('2015'!U124,"AAAAAGdPZGI=")</f>
        <v>#VALUE!</v>
      </c>
      <c r="CV29" t="e">
        <f>AND('2015'!V124,"AAAAAGdPZGM=")</f>
        <v>#VALUE!</v>
      </c>
      <c r="CW29" t="e">
        <f>AND('2015'!W124,"AAAAAGdPZGQ=")</f>
        <v>#VALUE!</v>
      </c>
      <c r="CX29" t="e">
        <f>AND('2015'!X124,"AAAAAGdPZGU=")</f>
        <v>#VALUE!</v>
      </c>
      <c r="CY29" t="e">
        <f>AND('2015'!Y124,"AAAAAGdPZGY=")</f>
        <v>#VALUE!</v>
      </c>
      <c r="CZ29" t="e">
        <f>AND('2015'!Z124,"AAAAAGdPZGc=")</f>
        <v>#VALUE!</v>
      </c>
      <c r="DA29" t="e">
        <f>AND('2015'!AA124,"AAAAAGdPZGg=")</f>
        <v>#VALUE!</v>
      </c>
      <c r="DB29" t="e">
        <f>AND('2015'!AB124,"AAAAAGdPZGk=")</f>
        <v>#VALUE!</v>
      </c>
      <c r="DC29" t="e">
        <f>AND('2015'!AC124,"AAAAAGdPZGo=")</f>
        <v>#VALUE!</v>
      </c>
      <c r="DD29" t="e">
        <f>AND('2015'!AD124,"AAAAAGdPZGs=")</f>
        <v>#VALUE!</v>
      </c>
      <c r="DE29" t="e">
        <f>AND('2015'!AE124,"AAAAAGdPZGw=")</f>
        <v>#VALUE!</v>
      </c>
      <c r="DF29" t="e">
        <f>AND('2015'!AF124,"AAAAAGdPZG0=")</f>
        <v>#VALUE!</v>
      </c>
      <c r="DG29" t="e">
        <f>AND('2015'!AG124,"AAAAAGdPZG4=")</f>
        <v>#VALUE!</v>
      </c>
      <c r="DH29" t="e">
        <f>AND('2015'!AH124,"AAAAAGdPZG8=")</f>
        <v>#VALUE!</v>
      </c>
      <c r="DI29" t="e">
        <f>AND('2015'!AI124,"AAAAAGdPZHA=")</f>
        <v>#VALUE!</v>
      </c>
      <c r="DJ29" t="e">
        <f>AND('2015'!AJ124,"AAAAAGdPZHE=")</f>
        <v>#VALUE!</v>
      </c>
      <c r="DK29" t="e">
        <f>AND('2015'!AK124,"AAAAAGdPZHI=")</f>
        <v>#VALUE!</v>
      </c>
      <c r="DL29" t="e">
        <f>AND('2015'!AL124,"AAAAAGdPZHM=")</f>
        <v>#VALUE!</v>
      </c>
      <c r="DM29" t="e">
        <f>AND('2015'!AM124,"AAAAAGdPZHQ=")</f>
        <v>#VALUE!</v>
      </c>
      <c r="DN29" t="e">
        <f>AND('2015'!AN124,"AAAAAGdPZHU=")</f>
        <v>#VALUE!</v>
      </c>
      <c r="DO29" t="e">
        <f>AND('2015'!AO124,"AAAAAGdPZHY=")</f>
        <v>#VALUE!</v>
      </c>
      <c r="DP29" t="e">
        <f>AND('2015'!AP124,"AAAAAGdPZHc=")</f>
        <v>#VALUE!</v>
      </c>
      <c r="DQ29" t="e">
        <f>AND('2015'!AQ124,"AAAAAGdPZHg=")</f>
        <v>#VALUE!</v>
      </c>
      <c r="DR29" t="e">
        <f>AND('2015'!AR124,"AAAAAGdPZHk=")</f>
        <v>#VALUE!</v>
      </c>
      <c r="DS29" t="e">
        <f>AND('2015'!AS124,"AAAAAGdPZHo=")</f>
        <v>#VALUE!</v>
      </c>
      <c r="DT29" t="e">
        <f>AND('2015'!AT124,"AAAAAGdPZHs=")</f>
        <v>#VALUE!</v>
      </c>
      <c r="DU29" t="e">
        <f>AND('2015'!#REF!,"AAAAAGdPZHw=")</f>
        <v>#REF!</v>
      </c>
      <c r="DV29" t="e">
        <f>AND('2015'!AU124,"AAAAAGdPZH0=")</f>
        <v>#VALUE!</v>
      </c>
      <c r="DW29" t="e">
        <f>AND('2015'!AV124,"AAAAAGdPZH4=")</f>
        <v>#VALUE!</v>
      </c>
      <c r="DX29" t="e">
        <f>AND('2015'!AW124,"AAAAAGdPZH8=")</f>
        <v>#VALUE!</v>
      </c>
      <c r="DY29" t="e">
        <f>AND('2015'!AX124,"AAAAAGdPZIA=")</f>
        <v>#VALUE!</v>
      </c>
      <c r="DZ29" t="e">
        <f>AND('2015'!AY124,"AAAAAGdPZIE=")</f>
        <v>#VALUE!</v>
      </c>
      <c r="EA29" t="e">
        <f>AND('2015'!AZ124,"AAAAAGdPZII=")</f>
        <v>#VALUE!</v>
      </c>
      <c r="EB29" t="e">
        <f>AND('2015'!BA124,"AAAAAGdPZIM=")</f>
        <v>#VALUE!</v>
      </c>
      <c r="EC29" t="e">
        <f>AND('2015'!BB124,"AAAAAGdPZIQ=")</f>
        <v>#VALUE!</v>
      </c>
      <c r="ED29" t="e">
        <f>AND('2015'!BC124,"AAAAAGdPZIU=")</f>
        <v>#VALUE!</v>
      </c>
      <c r="EE29" t="e">
        <f>AND('2015'!BD124,"AAAAAGdPZIY=")</f>
        <v>#VALUE!</v>
      </c>
      <c r="EF29" t="e">
        <f>AND('2015'!BE124,"AAAAAGdPZIc=")</f>
        <v>#VALUE!</v>
      </c>
      <c r="EG29" t="e">
        <f>AND('2015'!BF124,"AAAAAGdPZIg=")</f>
        <v>#VALUE!</v>
      </c>
      <c r="EH29" t="e">
        <f>AND('2015'!BG124,"AAAAAGdPZIk=")</f>
        <v>#VALUE!</v>
      </c>
      <c r="EI29" t="e">
        <f>AND('2015'!BH124,"AAAAAGdPZIo=")</f>
        <v>#VALUE!</v>
      </c>
      <c r="EJ29" t="e">
        <f>AND('2015'!BI124,"AAAAAGdPZIs=")</f>
        <v>#VALUE!</v>
      </c>
      <c r="EK29" t="e">
        <f>AND('2015'!#REF!,"AAAAAGdPZIw=")</f>
        <v>#REF!</v>
      </c>
      <c r="EL29" t="e">
        <f>AND('2015'!BJ124,"AAAAAGdPZI0=")</f>
        <v>#VALUE!</v>
      </c>
      <c r="EM29" t="e">
        <f>AND('2015'!BK124,"AAAAAGdPZI4=")</f>
        <v>#VALUE!</v>
      </c>
      <c r="EN29" t="e">
        <f>AND('2015'!BL124,"AAAAAGdPZI8=")</f>
        <v>#VALUE!</v>
      </c>
      <c r="EO29" t="e">
        <f>AND('2015'!BM124,"AAAAAGdPZJA=")</f>
        <v>#VALUE!</v>
      </c>
      <c r="EP29" t="e">
        <f>AND('2015'!BY124,"AAAAAGdPZJE=")</f>
        <v>#VALUE!</v>
      </c>
      <c r="EQ29">
        <f>IF('2015'!125:125,"AAAAAGdPZJI=",0)</f>
        <v>0</v>
      </c>
      <c r="ER29" t="e">
        <f>AND('2015'!A125,"AAAAAGdPZJM=")</f>
        <v>#VALUE!</v>
      </c>
      <c r="ES29" t="e">
        <f>AND('2015'!B125,"AAAAAGdPZJQ=")</f>
        <v>#VALUE!</v>
      </c>
      <c r="ET29" t="e">
        <f>AND('2015'!C125,"AAAAAGdPZJU=")</f>
        <v>#VALUE!</v>
      </c>
      <c r="EU29" t="e">
        <f>AND('2015'!D125,"AAAAAGdPZJY=")</f>
        <v>#VALUE!</v>
      </c>
      <c r="EV29" t="e">
        <f>AND('2015'!E125,"AAAAAGdPZJc=")</f>
        <v>#VALUE!</v>
      </c>
      <c r="EW29" t="e">
        <f>AND('2015'!F125,"AAAAAGdPZJg=")</f>
        <v>#VALUE!</v>
      </c>
      <c r="EX29" t="e">
        <f>AND('2015'!G125,"AAAAAGdPZJk=")</f>
        <v>#VALUE!</v>
      </c>
      <c r="EY29" t="e">
        <f>AND('2015'!H125,"AAAAAGdPZJo=")</f>
        <v>#VALUE!</v>
      </c>
      <c r="EZ29" t="e">
        <f>AND('2015'!I125,"AAAAAGdPZJs=")</f>
        <v>#VALUE!</v>
      </c>
      <c r="FA29" t="e">
        <f>AND('2015'!J125,"AAAAAGdPZJw=")</f>
        <v>#VALUE!</v>
      </c>
      <c r="FB29" t="e">
        <f>AND('2015'!K125,"AAAAAGdPZJ0=")</f>
        <v>#VALUE!</v>
      </c>
      <c r="FC29" t="e">
        <f>AND('2015'!L125,"AAAAAGdPZJ4=")</f>
        <v>#VALUE!</v>
      </c>
      <c r="FD29" t="e">
        <f>AND('2015'!M125,"AAAAAGdPZJ8=")</f>
        <v>#VALUE!</v>
      </c>
      <c r="FE29" t="e">
        <f>AND('2015'!N125,"AAAAAGdPZKA=")</f>
        <v>#VALUE!</v>
      </c>
      <c r="FF29" t="e">
        <f>AND('2015'!O125,"AAAAAGdPZKE=")</f>
        <v>#VALUE!</v>
      </c>
      <c r="FG29" t="e">
        <f>AND('2015'!P125,"AAAAAGdPZKI=")</f>
        <v>#VALUE!</v>
      </c>
      <c r="FH29" t="e">
        <f>AND('2015'!Q125,"AAAAAGdPZKM=")</f>
        <v>#VALUE!</v>
      </c>
      <c r="FI29" t="e">
        <f>AND('2015'!R125,"AAAAAGdPZKQ=")</f>
        <v>#VALUE!</v>
      </c>
      <c r="FJ29" t="e">
        <f>AND('2015'!S125,"AAAAAGdPZKU=")</f>
        <v>#VALUE!</v>
      </c>
      <c r="FK29" t="e">
        <f>AND('2015'!T125,"AAAAAGdPZKY=")</f>
        <v>#VALUE!</v>
      </c>
      <c r="FL29" t="e">
        <f>AND('2015'!U125,"AAAAAGdPZKc=")</f>
        <v>#VALUE!</v>
      </c>
      <c r="FM29" t="e">
        <f>AND('2015'!V125,"AAAAAGdPZKg=")</f>
        <v>#VALUE!</v>
      </c>
      <c r="FN29" t="e">
        <f>AND('2015'!W125,"AAAAAGdPZKk=")</f>
        <v>#VALUE!</v>
      </c>
      <c r="FO29" t="e">
        <f>AND('2015'!X125,"AAAAAGdPZKo=")</f>
        <v>#VALUE!</v>
      </c>
      <c r="FP29" t="e">
        <f>AND('2015'!Y125,"AAAAAGdPZKs=")</f>
        <v>#VALUE!</v>
      </c>
      <c r="FQ29" t="e">
        <f>AND('2015'!Z125,"AAAAAGdPZKw=")</f>
        <v>#VALUE!</v>
      </c>
      <c r="FR29" t="e">
        <f>AND('2015'!AA125,"AAAAAGdPZK0=")</f>
        <v>#VALUE!</v>
      </c>
      <c r="FS29" t="e">
        <f>AND('2015'!AB125,"AAAAAGdPZK4=")</f>
        <v>#VALUE!</v>
      </c>
      <c r="FT29" t="e">
        <f>AND('2015'!AC125,"AAAAAGdPZK8=")</f>
        <v>#VALUE!</v>
      </c>
      <c r="FU29" t="e">
        <f>AND('2015'!AD125,"AAAAAGdPZLA=")</f>
        <v>#VALUE!</v>
      </c>
      <c r="FV29" t="e">
        <f>AND('2015'!AE125,"AAAAAGdPZLE=")</f>
        <v>#VALUE!</v>
      </c>
      <c r="FW29" t="e">
        <f>AND('2015'!AF125,"AAAAAGdPZLI=")</f>
        <v>#VALUE!</v>
      </c>
      <c r="FX29" t="e">
        <f>AND('2015'!AG125,"AAAAAGdPZLM=")</f>
        <v>#VALUE!</v>
      </c>
      <c r="FY29" t="e">
        <f>AND('2015'!AH125,"AAAAAGdPZLQ=")</f>
        <v>#VALUE!</v>
      </c>
      <c r="FZ29" t="e">
        <f>AND('2015'!AI125,"AAAAAGdPZLU=")</f>
        <v>#VALUE!</v>
      </c>
      <c r="GA29" t="e">
        <f>AND('2015'!AJ125,"AAAAAGdPZLY=")</f>
        <v>#VALUE!</v>
      </c>
      <c r="GB29" t="e">
        <f>AND('2015'!AK125,"AAAAAGdPZLc=")</f>
        <v>#VALUE!</v>
      </c>
      <c r="GC29" t="e">
        <f>AND('2015'!AL125,"AAAAAGdPZLg=")</f>
        <v>#VALUE!</v>
      </c>
      <c r="GD29" t="e">
        <f>AND('2015'!AM125,"AAAAAGdPZLk=")</f>
        <v>#VALUE!</v>
      </c>
      <c r="GE29" t="e">
        <f>AND('2015'!AN125,"AAAAAGdPZLo=")</f>
        <v>#VALUE!</v>
      </c>
      <c r="GF29" t="e">
        <f>AND('2015'!AO125,"AAAAAGdPZLs=")</f>
        <v>#VALUE!</v>
      </c>
      <c r="GG29" t="e">
        <f>AND('2015'!AP125,"AAAAAGdPZLw=")</f>
        <v>#VALUE!</v>
      </c>
      <c r="GH29" t="e">
        <f>AND('2015'!AQ125,"AAAAAGdPZL0=")</f>
        <v>#VALUE!</v>
      </c>
      <c r="GI29" t="e">
        <f>AND('2015'!AR125,"AAAAAGdPZL4=")</f>
        <v>#VALUE!</v>
      </c>
      <c r="GJ29" t="e">
        <f>AND('2015'!AS125,"AAAAAGdPZL8=")</f>
        <v>#VALUE!</v>
      </c>
      <c r="GK29" t="e">
        <f>AND('2015'!AT125,"AAAAAGdPZMA=")</f>
        <v>#VALUE!</v>
      </c>
      <c r="GL29" t="e">
        <f>AND('2015'!#REF!,"AAAAAGdPZME=")</f>
        <v>#REF!</v>
      </c>
      <c r="GM29" t="e">
        <f>AND('2015'!AU125,"AAAAAGdPZMI=")</f>
        <v>#VALUE!</v>
      </c>
      <c r="GN29" t="e">
        <f>AND('2015'!AV125,"AAAAAGdPZMM=")</f>
        <v>#VALUE!</v>
      </c>
      <c r="GO29" t="e">
        <f>AND('2015'!AW125,"AAAAAGdPZMQ=")</f>
        <v>#VALUE!</v>
      </c>
      <c r="GP29" t="e">
        <f>AND('2015'!AX125,"AAAAAGdPZMU=")</f>
        <v>#VALUE!</v>
      </c>
      <c r="GQ29" t="e">
        <f>AND('2015'!AY125,"AAAAAGdPZMY=")</f>
        <v>#VALUE!</v>
      </c>
      <c r="GR29" t="e">
        <f>AND('2015'!AZ125,"AAAAAGdPZMc=")</f>
        <v>#VALUE!</v>
      </c>
      <c r="GS29" t="e">
        <f>AND('2015'!BA125,"AAAAAGdPZMg=")</f>
        <v>#VALUE!</v>
      </c>
      <c r="GT29" t="e">
        <f>AND('2015'!BB125,"AAAAAGdPZMk=")</f>
        <v>#VALUE!</v>
      </c>
      <c r="GU29" t="e">
        <f>AND('2015'!BC125,"AAAAAGdPZMo=")</f>
        <v>#VALUE!</v>
      </c>
      <c r="GV29" t="e">
        <f>AND('2015'!BD125,"AAAAAGdPZMs=")</f>
        <v>#VALUE!</v>
      </c>
      <c r="GW29" t="e">
        <f>AND('2015'!BE125,"AAAAAGdPZMw=")</f>
        <v>#VALUE!</v>
      </c>
      <c r="GX29" t="e">
        <f>AND('2015'!BF125,"AAAAAGdPZM0=")</f>
        <v>#VALUE!</v>
      </c>
      <c r="GY29" t="e">
        <f>AND('2015'!BG125,"AAAAAGdPZM4=")</f>
        <v>#VALUE!</v>
      </c>
      <c r="GZ29" t="e">
        <f>AND('2015'!BH125,"AAAAAGdPZM8=")</f>
        <v>#VALUE!</v>
      </c>
      <c r="HA29" t="e">
        <f>AND('2015'!BI125,"AAAAAGdPZNA=")</f>
        <v>#VALUE!</v>
      </c>
      <c r="HB29" t="e">
        <f>AND('2015'!#REF!,"AAAAAGdPZNE=")</f>
        <v>#REF!</v>
      </c>
      <c r="HC29" t="e">
        <f>AND('2015'!BJ125,"AAAAAGdPZNI=")</f>
        <v>#VALUE!</v>
      </c>
      <c r="HD29" t="e">
        <f>AND('2015'!BK125,"AAAAAGdPZNM=")</f>
        <v>#VALUE!</v>
      </c>
      <c r="HE29" t="e">
        <f>AND('2015'!BL125,"AAAAAGdPZNQ=")</f>
        <v>#VALUE!</v>
      </c>
      <c r="HF29" t="e">
        <f>AND('2015'!BM125,"AAAAAGdPZNU=")</f>
        <v>#VALUE!</v>
      </c>
      <c r="HG29" t="e">
        <f>AND('2015'!BY125,"AAAAAGdPZNY=")</f>
        <v>#VALUE!</v>
      </c>
      <c r="HH29">
        <f>IF('2015'!126:126,"AAAAAGdPZNc=",0)</f>
        <v>0</v>
      </c>
      <c r="HI29" t="e">
        <f>AND('2015'!A126,"AAAAAGdPZNg=")</f>
        <v>#VALUE!</v>
      </c>
      <c r="HJ29" t="e">
        <f>AND('2015'!B126,"AAAAAGdPZNk=")</f>
        <v>#VALUE!</v>
      </c>
      <c r="HK29" t="e">
        <f>AND('2015'!C126,"AAAAAGdPZNo=")</f>
        <v>#VALUE!</v>
      </c>
      <c r="HL29" t="e">
        <f>AND('2015'!D126,"AAAAAGdPZNs=")</f>
        <v>#VALUE!</v>
      </c>
      <c r="HM29" t="e">
        <f>AND('2015'!E126,"AAAAAGdPZNw=")</f>
        <v>#VALUE!</v>
      </c>
      <c r="HN29" t="e">
        <f>AND('2015'!F126,"AAAAAGdPZN0=")</f>
        <v>#VALUE!</v>
      </c>
      <c r="HO29" t="e">
        <f>AND('2015'!G126,"AAAAAGdPZN4=")</f>
        <v>#VALUE!</v>
      </c>
      <c r="HP29" t="e">
        <f>AND('2015'!H126,"AAAAAGdPZN8=")</f>
        <v>#VALUE!</v>
      </c>
      <c r="HQ29" t="e">
        <f>AND('2015'!I126,"AAAAAGdPZOA=")</f>
        <v>#VALUE!</v>
      </c>
      <c r="HR29" t="e">
        <f>AND('2015'!J126,"AAAAAGdPZOE=")</f>
        <v>#VALUE!</v>
      </c>
      <c r="HS29" t="e">
        <f>AND('2015'!K126,"AAAAAGdPZOI=")</f>
        <v>#VALUE!</v>
      </c>
      <c r="HT29" t="e">
        <f>AND('2015'!L126,"AAAAAGdPZOM=")</f>
        <v>#VALUE!</v>
      </c>
      <c r="HU29" t="e">
        <f>AND('2015'!M126,"AAAAAGdPZOQ=")</f>
        <v>#VALUE!</v>
      </c>
      <c r="HV29" t="e">
        <f>AND('2015'!N126,"AAAAAGdPZOU=")</f>
        <v>#VALUE!</v>
      </c>
      <c r="HW29" t="e">
        <f>AND('2015'!O126,"AAAAAGdPZOY=")</f>
        <v>#VALUE!</v>
      </c>
      <c r="HX29" t="e">
        <f>AND('2015'!P126,"AAAAAGdPZOc=")</f>
        <v>#VALUE!</v>
      </c>
      <c r="HY29" t="e">
        <f>AND('2015'!Q126,"AAAAAGdPZOg=")</f>
        <v>#VALUE!</v>
      </c>
      <c r="HZ29" t="e">
        <f>AND('2015'!R126,"AAAAAGdPZOk=")</f>
        <v>#VALUE!</v>
      </c>
      <c r="IA29" t="e">
        <f>AND('2015'!S126,"AAAAAGdPZOo=")</f>
        <v>#VALUE!</v>
      </c>
      <c r="IB29" t="e">
        <f>AND('2015'!T126,"AAAAAGdPZOs=")</f>
        <v>#VALUE!</v>
      </c>
      <c r="IC29" t="e">
        <f>AND('2015'!U126,"AAAAAGdPZOw=")</f>
        <v>#VALUE!</v>
      </c>
      <c r="ID29" t="e">
        <f>AND('2015'!V126,"AAAAAGdPZO0=")</f>
        <v>#VALUE!</v>
      </c>
      <c r="IE29" t="e">
        <f>AND('2015'!W126,"AAAAAGdPZO4=")</f>
        <v>#VALUE!</v>
      </c>
      <c r="IF29" t="e">
        <f>AND('2015'!X126,"AAAAAGdPZO8=")</f>
        <v>#VALUE!</v>
      </c>
      <c r="IG29" t="e">
        <f>AND('2015'!Y126,"AAAAAGdPZPA=")</f>
        <v>#VALUE!</v>
      </c>
      <c r="IH29" t="e">
        <f>AND('2015'!Z126,"AAAAAGdPZPE=")</f>
        <v>#VALUE!</v>
      </c>
      <c r="II29" t="e">
        <f>AND('2015'!AA126,"AAAAAGdPZPI=")</f>
        <v>#VALUE!</v>
      </c>
      <c r="IJ29" t="e">
        <f>AND('2015'!AB126,"AAAAAGdPZPM=")</f>
        <v>#VALUE!</v>
      </c>
      <c r="IK29" t="e">
        <f>AND('2015'!AC126,"AAAAAGdPZPQ=")</f>
        <v>#VALUE!</v>
      </c>
      <c r="IL29" t="e">
        <f>AND('2015'!AD126,"AAAAAGdPZPU=")</f>
        <v>#VALUE!</v>
      </c>
      <c r="IM29" t="e">
        <f>AND('2015'!AE126,"AAAAAGdPZPY=")</f>
        <v>#VALUE!</v>
      </c>
      <c r="IN29" t="e">
        <f>AND('2015'!AF126,"AAAAAGdPZPc=")</f>
        <v>#VALUE!</v>
      </c>
      <c r="IO29" t="e">
        <f>AND('2015'!AG126,"AAAAAGdPZPg=")</f>
        <v>#VALUE!</v>
      </c>
      <c r="IP29" t="e">
        <f>AND('2015'!AH126,"AAAAAGdPZPk=")</f>
        <v>#VALUE!</v>
      </c>
      <c r="IQ29" t="e">
        <f>AND('2015'!AI126,"AAAAAGdPZPo=")</f>
        <v>#VALUE!</v>
      </c>
      <c r="IR29" t="e">
        <f>AND('2015'!AJ126,"AAAAAGdPZPs=")</f>
        <v>#VALUE!</v>
      </c>
      <c r="IS29" t="e">
        <f>AND('2015'!AK126,"AAAAAGdPZPw=")</f>
        <v>#VALUE!</v>
      </c>
      <c r="IT29" t="e">
        <f>AND('2015'!AL126,"AAAAAGdPZP0=")</f>
        <v>#VALUE!</v>
      </c>
      <c r="IU29" t="e">
        <f>AND('2015'!AM126,"AAAAAGdPZP4=")</f>
        <v>#VALUE!</v>
      </c>
      <c r="IV29" t="e">
        <f>AND('2015'!AN126,"AAAAAGdPZP8=")</f>
        <v>#VALUE!</v>
      </c>
    </row>
    <row r="30" spans="1:256" x14ac:dyDescent="0.25">
      <c r="A30" t="e">
        <f>AND('2015'!AO126,"AAAAAH9K9wA=")</f>
        <v>#VALUE!</v>
      </c>
      <c r="B30" t="e">
        <f>AND('2015'!AP126,"AAAAAH9K9wE=")</f>
        <v>#VALUE!</v>
      </c>
      <c r="C30" t="e">
        <f>AND('2015'!AQ126,"AAAAAH9K9wI=")</f>
        <v>#VALUE!</v>
      </c>
      <c r="D30" t="e">
        <f>AND('2015'!AR126,"AAAAAH9K9wM=")</f>
        <v>#VALUE!</v>
      </c>
      <c r="E30" t="e">
        <f>AND('2015'!AS126,"AAAAAH9K9wQ=")</f>
        <v>#VALUE!</v>
      </c>
      <c r="F30" t="e">
        <f>AND('2015'!AT126,"AAAAAH9K9wU=")</f>
        <v>#VALUE!</v>
      </c>
      <c r="G30" t="e">
        <f>AND('2015'!#REF!,"AAAAAH9K9wY=")</f>
        <v>#REF!</v>
      </c>
      <c r="H30" t="e">
        <f>AND('2015'!AU126,"AAAAAH9K9wc=")</f>
        <v>#VALUE!</v>
      </c>
      <c r="I30" t="e">
        <f>AND('2015'!AV126,"AAAAAH9K9wg=")</f>
        <v>#VALUE!</v>
      </c>
      <c r="J30" t="e">
        <f>AND('2015'!AW126,"AAAAAH9K9wk=")</f>
        <v>#VALUE!</v>
      </c>
      <c r="K30" t="e">
        <f>AND('2015'!AX126,"AAAAAH9K9wo=")</f>
        <v>#VALUE!</v>
      </c>
      <c r="L30" t="e">
        <f>AND('2015'!AY126,"AAAAAH9K9ws=")</f>
        <v>#VALUE!</v>
      </c>
      <c r="M30" t="e">
        <f>AND('2015'!AZ126,"AAAAAH9K9ww=")</f>
        <v>#VALUE!</v>
      </c>
      <c r="N30" t="e">
        <f>AND('2015'!BA126,"AAAAAH9K9w0=")</f>
        <v>#VALUE!</v>
      </c>
      <c r="O30" t="e">
        <f>AND('2015'!BB126,"AAAAAH9K9w4=")</f>
        <v>#VALUE!</v>
      </c>
      <c r="P30" t="e">
        <f>AND('2015'!BC126,"AAAAAH9K9w8=")</f>
        <v>#VALUE!</v>
      </c>
      <c r="Q30" t="e">
        <f>AND('2015'!BD126,"AAAAAH9K9xA=")</f>
        <v>#VALUE!</v>
      </c>
      <c r="R30" t="e">
        <f>AND('2015'!BE126,"AAAAAH9K9xE=")</f>
        <v>#VALUE!</v>
      </c>
      <c r="S30" t="e">
        <f>AND('2015'!BF126,"AAAAAH9K9xI=")</f>
        <v>#VALUE!</v>
      </c>
      <c r="T30" t="e">
        <f>AND('2015'!BG126,"AAAAAH9K9xM=")</f>
        <v>#VALUE!</v>
      </c>
      <c r="U30" t="e">
        <f>AND('2015'!BH126,"AAAAAH9K9xQ=")</f>
        <v>#VALUE!</v>
      </c>
      <c r="V30" t="e">
        <f>AND('2015'!BI126,"AAAAAH9K9xU=")</f>
        <v>#VALUE!</v>
      </c>
      <c r="W30" t="e">
        <f>AND('2015'!#REF!,"AAAAAH9K9xY=")</f>
        <v>#REF!</v>
      </c>
      <c r="X30" t="e">
        <f>AND('2015'!BJ126,"AAAAAH9K9xc=")</f>
        <v>#VALUE!</v>
      </c>
      <c r="Y30" t="e">
        <f>AND('2015'!BK126,"AAAAAH9K9xg=")</f>
        <v>#VALUE!</v>
      </c>
      <c r="Z30" t="e">
        <f>AND('2015'!BL126,"AAAAAH9K9xk=")</f>
        <v>#VALUE!</v>
      </c>
      <c r="AA30" t="e">
        <f>AND('2015'!BM126,"AAAAAH9K9xo=")</f>
        <v>#VALUE!</v>
      </c>
      <c r="AB30" t="e">
        <f>AND('2015'!BY126,"AAAAAH9K9xs=")</f>
        <v>#VALUE!</v>
      </c>
      <c r="AC30">
        <f>IF('2015'!127:127,"AAAAAH9K9xw=",0)</f>
        <v>0</v>
      </c>
      <c r="AD30" t="e">
        <f>AND('2015'!A127,"AAAAAH9K9x0=")</f>
        <v>#VALUE!</v>
      </c>
      <c r="AE30" t="e">
        <f>AND('2015'!B127,"AAAAAH9K9x4=")</f>
        <v>#VALUE!</v>
      </c>
      <c r="AF30" t="e">
        <f>AND('2015'!C127,"AAAAAH9K9x8=")</f>
        <v>#VALUE!</v>
      </c>
      <c r="AG30" t="e">
        <f>AND('2015'!D127,"AAAAAH9K9yA=")</f>
        <v>#VALUE!</v>
      </c>
      <c r="AH30" t="e">
        <f>AND('2015'!E127,"AAAAAH9K9yE=")</f>
        <v>#VALUE!</v>
      </c>
      <c r="AI30" t="e">
        <f>AND('2015'!F127,"AAAAAH9K9yI=")</f>
        <v>#VALUE!</v>
      </c>
      <c r="AJ30" t="e">
        <f>AND('2015'!G127,"AAAAAH9K9yM=")</f>
        <v>#VALUE!</v>
      </c>
      <c r="AK30" t="e">
        <f>AND('2015'!H127,"AAAAAH9K9yQ=")</f>
        <v>#VALUE!</v>
      </c>
      <c r="AL30" t="e">
        <f>AND('2015'!I127,"AAAAAH9K9yU=")</f>
        <v>#VALUE!</v>
      </c>
      <c r="AM30" t="e">
        <f>AND('2015'!J127,"AAAAAH9K9yY=")</f>
        <v>#VALUE!</v>
      </c>
      <c r="AN30" t="e">
        <f>AND('2015'!K127,"AAAAAH9K9yc=")</f>
        <v>#VALUE!</v>
      </c>
      <c r="AO30" t="e">
        <f>AND('2015'!L127,"AAAAAH9K9yg=")</f>
        <v>#VALUE!</v>
      </c>
      <c r="AP30" t="e">
        <f>AND('2015'!M127,"AAAAAH9K9yk=")</f>
        <v>#VALUE!</v>
      </c>
      <c r="AQ30" t="e">
        <f>AND('2015'!N127,"AAAAAH9K9yo=")</f>
        <v>#VALUE!</v>
      </c>
      <c r="AR30" t="e">
        <f>AND('2015'!O127,"AAAAAH9K9ys=")</f>
        <v>#VALUE!</v>
      </c>
      <c r="AS30" t="e">
        <f>AND('2015'!P127,"AAAAAH9K9yw=")</f>
        <v>#VALUE!</v>
      </c>
      <c r="AT30" t="e">
        <f>AND('2015'!Q127,"AAAAAH9K9y0=")</f>
        <v>#VALUE!</v>
      </c>
      <c r="AU30" t="e">
        <f>AND('2015'!R127,"AAAAAH9K9y4=")</f>
        <v>#VALUE!</v>
      </c>
      <c r="AV30" t="e">
        <f>AND('2015'!S127,"AAAAAH9K9y8=")</f>
        <v>#VALUE!</v>
      </c>
      <c r="AW30" t="e">
        <f>AND('2015'!T127,"AAAAAH9K9zA=")</f>
        <v>#VALUE!</v>
      </c>
      <c r="AX30" t="e">
        <f>AND('2015'!U127,"AAAAAH9K9zE=")</f>
        <v>#VALUE!</v>
      </c>
      <c r="AY30" t="e">
        <f>AND('2015'!V127,"AAAAAH9K9zI=")</f>
        <v>#VALUE!</v>
      </c>
      <c r="AZ30" t="e">
        <f>AND('2015'!W127,"AAAAAH9K9zM=")</f>
        <v>#VALUE!</v>
      </c>
      <c r="BA30" t="e">
        <f>AND('2015'!X127,"AAAAAH9K9zQ=")</f>
        <v>#VALUE!</v>
      </c>
      <c r="BB30" t="e">
        <f>AND('2015'!Y127,"AAAAAH9K9zU=")</f>
        <v>#VALUE!</v>
      </c>
      <c r="BC30" t="e">
        <f>AND('2015'!Z127,"AAAAAH9K9zY=")</f>
        <v>#VALUE!</v>
      </c>
      <c r="BD30" t="e">
        <f>AND('2015'!AA127,"AAAAAH9K9zc=")</f>
        <v>#VALUE!</v>
      </c>
      <c r="BE30" t="e">
        <f>AND('2015'!AB127,"AAAAAH9K9zg=")</f>
        <v>#VALUE!</v>
      </c>
      <c r="BF30" t="e">
        <f>AND('2015'!AC127,"AAAAAH9K9zk=")</f>
        <v>#VALUE!</v>
      </c>
      <c r="BG30" t="e">
        <f>AND('2015'!AD127,"AAAAAH9K9zo=")</f>
        <v>#VALUE!</v>
      </c>
      <c r="BH30" t="e">
        <f>AND('2015'!AE127,"AAAAAH9K9zs=")</f>
        <v>#VALUE!</v>
      </c>
      <c r="BI30" t="e">
        <f>AND('2015'!AF127,"AAAAAH9K9zw=")</f>
        <v>#VALUE!</v>
      </c>
      <c r="BJ30" t="e">
        <f>AND('2015'!AG127,"AAAAAH9K9z0=")</f>
        <v>#VALUE!</v>
      </c>
      <c r="BK30" t="e">
        <f>AND('2015'!AH127,"AAAAAH9K9z4=")</f>
        <v>#VALUE!</v>
      </c>
      <c r="BL30" t="e">
        <f>AND('2015'!AI127,"AAAAAH9K9z8=")</f>
        <v>#VALUE!</v>
      </c>
      <c r="BM30" t="e">
        <f>AND('2015'!AJ127,"AAAAAH9K90A=")</f>
        <v>#VALUE!</v>
      </c>
      <c r="BN30" t="e">
        <f>AND('2015'!AK127,"AAAAAH9K90E=")</f>
        <v>#VALUE!</v>
      </c>
      <c r="BO30" t="e">
        <f>AND('2015'!AL127,"AAAAAH9K90I=")</f>
        <v>#VALUE!</v>
      </c>
      <c r="BP30" t="e">
        <f>AND('2015'!AM127,"AAAAAH9K90M=")</f>
        <v>#VALUE!</v>
      </c>
      <c r="BQ30" t="e">
        <f>AND('2015'!AN127,"AAAAAH9K90Q=")</f>
        <v>#VALUE!</v>
      </c>
      <c r="BR30" t="e">
        <f>AND('2015'!AO127,"AAAAAH9K90U=")</f>
        <v>#VALUE!</v>
      </c>
      <c r="BS30" t="e">
        <f>AND('2015'!AP127,"AAAAAH9K90Y=")</f>
        <v>#VALUE!</v>
      </c>
      <c r="BT30" t="e">
        <f>AND('2015'!AQ127,"AAAAAH9K90c=")</f>
        <v>#VALUE!</v>
      </c>
      <c r="BU30" t="e">
        <f>AND('2015'!AR127,"AAAAAH9K90g=")</f>
        <v>#VALUE!</v>
      </c>
      <c r="BV30" t="e">
        <f>AND('2015'!AS127,"AAAAAH9K90k=")</f>
        <v>#VALUE!</v>
      </c>
      <c r="BW30" t="e">
        <f>AND('2015'!AT127,"AAAAAH9K90o=")</f>
        <v>#VALUE!</v>
      </c>
      <c r="BX30" t="e">
        <f>AND('2015'!#REF!,"AAAAAH9K90s=")</f>
        <v>#REF!</v>
      </c>
      <c r="BY30" t="e">
        <f>AND('2015'!AU127,"AAAAAH9K90w=")</f>
        <v>#VALUE!</v>
      </c>
      <c r="BZ30" t="e">
        <f>AND('2015'!AV127,"AAAAAH9K900=")</f>
        <v>#VALUE!</v>
      </c>
      <c r="CA30" t="e">
        <f>AND('2015'!AW127,"AAAAAH9K904=")</f>
        <v>#VALUE!</v>
      </c>
      <c r="CB30" t="e">
        <f>AND('2015'!AX127,"AAAAAH9K908=")</f>
        <v>#VALUE!</v>
      </c>
      <c r="CC30" t="e">
        <f>AND('2015'!AY127,"AAAAAH9K91A=")</f>
        <v>#VALUE!</v>
      </c>
      <c r="CD30" t="e">
        <f>AND('2015'!AZ127,"AAAAAH9K91E=")</f>
        <v>#VALUE!</v>
      </c>
      <c r="CE30" t="e">
        <f>AND('2015'!BA127,"AAAAAH9K91I=")</f>
        <v>#VALUE!</v>
      </c>
      <c r="CF30" t="e">
        <f>AND('2015'!BB127,"AAAAAH9K91M=")</f>
        <v>#VALUE!</v>
      </c>
      <c r="CG30" t="e">
        <f>AND('2015'!BC127,"AAAAAH9K91Q=")</f>
        <v>#VALUE!</v>
      </c>
      <c r="CH30" t="e">
        <f>AND('2015'!BD127,"AAAAAH9K91U=")</f>
        <v>#VALUE!</v>
      </c>
      <c r="CI30" t="e">
        <f>AND('2015'!BE127,"AAAAAH9K91Y=")</f>
        <v>#VALUE!</v>
      </c>
      <c r="CJ30" t="e">
        <f>AND('2015'!BF127,"AAAAAH9K91c=")</f>
        <v>#VALUE!</v>
      </c>
      <c r="CK30" t="e">
        <f>AND('2015'!BG127,"AAAAAH9K91g=")</f>
        <v>#VALUE!</v>
      </c>
      <c r="CL30" t="e">
        <f>AND('2015'!BH127,"AAAAAH9K91k=")</f>
        <v>#VALUE!</v>
      </c>
      <c r="CM30" t="e">
        <f>AND('2015'!BI127,"AAAAAH9K91o=")</f>
        <v>#VALUE!</v>
      </c>
      <c r="CN30" t="e">
        <f>AND('2015'!#REF!,"AAAAAH9K91s=")</f>
        <v>#REF!</v>
      </c>
      <c r="CO30" t="e">
        <f>AND('2015'!BJ127,"AAAAAH9K91w=")</f>
        <v>#VALUE!</v>
      </c>
      <c r="CP30" t="e">
        <f>AND('2015'!BK127,"AAAAAH9K910=")</f>
        <v>#VALUE!</v>
      </c>
      <c r="CQ30" t="e">
        <f>AND('2015'!BL127,"AAAAAH9K914=")</f>
        <v>#VALUE!</v>
      </c>
      <c r="CR30" t="e">
        <f>AND('2015'!BM127,"AAAAAH9K918=")</f>
        <v>#VALUE!</v>
      </c>
      <c r="CS30" t="e">
        <f>AND('2015'!BY127,"AAAAAH9K92A=")</f>
        <v>#VALUE!</v>
      </c>
      <c r="CT30">
        <f>IF('2015'!128:128,"AAAAAH9K92E=",0)</f>
        <v>0</v>
      </c>
      <c r="CU30" t="e">
        <f>AND('2015'!A128,"AAAAAH9K92I=")</f>
        <v>#VALUE!</v>
      </c>
      <c r="CV30" t="e">
        <f>AND('2015'!B128,"AAAAAH9K92M=")</f>
        <v>#VALUE!</v>
      </c>
      <c r="CW30" t="e">
        <f>AND('2015'!C128,"AAAAAH9K92Q=")</f>
        <v>#VALUE!</v>
      </c>
      <c r="CX30" t="e">
        <f>AND('2015'!D128,"AAAAAH9K92U=")</f>
        <v>#VALUE!</v>
      </c>
      <c r="CY30" t="e">
        <f>AND('2015'!E128,"AAAAAH9K92Y=")</f>
        <v>#VALUE!</v>
      </c>
      <c r="CZ30" t="e">
        <f>AND('2015'!F128,"AAAAAH9K92c=")</f>
        <v>#VALUE!</v>
      </c>
      <c r="DA30" t="e">
        <f>AND('2015'!G128,"AAAAAH9K92g=")</f>
        <v>#VALUE!</v>
      </c>
      <c r="DB30" t="e">
        <f>AND('2015'!H128,"AAAAAH9K92k=")</f>
        <v>#VALUE!</v>
      </c>
      <c r="DC30" t="e">
        <f>AND('2015'!I128,"AAAAAH9K92o=")</f>
        <v>#VALUE!</v>
      </c>
      <c r="DD30" t="e">
        <f>AND('2015'!J128,"AAAAAH9K92s=")</f>
        <v>#VALUE!</v>
      </c>
      <c r="DE30" t="e">
        <f>AND('2015'!K128,"AAAAAH9K92w=")</f>
        <v>#VALUE!</v>
      </c>
      <c r="DF30" t="e">
        <f>AND('2015'!L128,"AAAAAH9K920=")</f>
        <v>#VALUE!</v>
      </c>
      <c r="DG30" t="e">
        <f>AND('2015'!M128,"AAAAAH9K924=")</f>
        <v>#VALUE!</v>
      </c>
      <c r="DH30" t="e">
        <f>AND('2015'!N128,"AAAAAH9K928=")</f>
        <v>#VALUE!</v>
      </c>
      <c r="DI30" t="e">
        <f>AND('2015'!O128,"AAAAAH9K93A=")</f>
        <v>#VALUE!</v>
      </c>
      <c r="DJ30" t="e">
        <f>AND('2015'!P128,"AAAAAH9K93E=")</f>
        <v>#VALUE!</v>
      </c>
      <c r="DK30" t="e">
        <f>AND('2015'!Q128,"AAAAAH9K93I=")</f>
        <v>#VALUE!</v>
      </c>
      <c r="DL30" t="e">
        <f>AND('2015'!R128,"AAAAAH9K93M=")</f>
        <v>#VALUE!</v>
      </c>
      <c r="DM30" t="e">
        <f>AND('2015'!S128,"AAAAAH9K93Q=")</f>
        <v>#VALUE!</v>
      </c>
      <c r="DN30" t="e">
        <f>AND('2015'!T128,"AAAAAH9K93U=")</f>
        <v>#VALUE!</v>
      </c>
      <c r="DO30" t="e">
        <f>AND('2015'!U128,"AAAAAH9K93Y=")</f>
        <v>#VALUE!</v>
      </c>
      <c r="DP30" t="e">
        <f>AND('2015'!V128,"AAAAAH9K93c=")</f>
        <v>#VALUE!</v>
      </c>
      <c r="DQ30" t="e">
        <f>AND('2015'!W128,"AAAAAH9K93g=")</f>
        <v>#VALUE!</v>
      </c>
      <c r="DR30" t="e">
        <f>AND('2015'!X128,"AAAAAH9K93k=")</f>
        <v>#VALUE!</v>
      </c>
      <c r="DS30" t="e">
        <f>AND('2015'!Y128,"AAAAAH9K93o=")</f>
        <v>#VALUE!</v>
      </c>
      <c r="DT30" t="e">
        <f>AND('2015'!Z128,"AAAAAH9K93s=")</f>
        <v>#VALUE!</v>
      </c>
      <c r="DU30" t="e">
        <f>AND('2015'!AA128,"AAAAAH9K93w=")</f>
        <v>#VALUE!</v>
      </c>
      <c r="DV30" t="e">
        <f>AND('2015'!AB128,"AAAAAH9K930=")</f>
        <v>#VALUE!</v>
      </c>
      <c r="DW30" t="e">
        <f>AND('2015'!AC128,"AAAAAH9K934=")</f>
        <v>#VALUE!</v>
      </c>
      <c r="DX30" t="e">
        <f>AND('2015'!AD128,"AAAAAH9K938=")</f>
        <v>#VALUE!</v>
      </c>
      <c r="DY30" t="e">
        <f>AND('2015'!AE128,"AAAAAH9K94A=")</f>
        <v>#VALUE!</v>
      </c>
      <c r="DZ30" t="e">
        <f>AND('2015'!AF128,"AAAAAH9K94E=")</f>
        <v>#VALUE!</v>
      </c>
      <c r="EA30" t="e">
        <f>AND('2015'!AG128,"AAAAAH9K94I=")</f>
        <v>#VALUE!</v>
      </c>
      <c r="EB30" t="e">
        <f>AND('2015'!AH128,"AAAAAH9K94M=")</f>
        <v>#VALUE!</v>
      </c>
      <c r="EC30" t="e">
        <f>AND('2015'!AI128,"AAAAAH9K94Q=")</f>
        <v>#VALUE!</v>
      </c>
      <c r="ED30" t="e">
        <f>AND('2015'!AJ128,"AAAAAH9K94U=")</f>
        <v>#VALUE!</v>
      </c>
      <c r="EE30" t="e">
        <f>AND('2015'!AK128,"AAAAAH9K94Y=")</f>
        <v>#VALUE!</v>
      </c>
      <c r="EF30" t="e">
        <f>AND('2015'!AL128,"AAAAAH9K94c=")</f>
        <v>#VALUE!</v>
      </c>
      <c r="EG30" t="e">
        <f>AND('2015'!AM128,"AAAAAH9K94g=")</f>
        <v>#VALUE!</v>
      </c>
      <c r="EH30" t="e">
        <f>AND('2015'!AN128,"AAAAAH9K94k=")</f>
        <v>#VALUE!</v>
      </c>
      <c r="EI30" t="e">
        <f>AND('2015'!AO128,"AAAAAH9K94o=")</f>
        <v>#VALUE!</v>
      </c>
      <c r="EJ30" t="e">
        <f>AND('2015'!AP128,"AAAAAH9K94s=")</f>
        <v>#VALUE!</v>
      </c>
      <c r="EK30" t="e">
        <f>AND('2015'!AQ128,"AAAAAH9K94w=")</f>
        <v>#VALUE!</v>
      </c>
      <c r="EL30" t="e">
        <f>AND('2015'!AR128,"AAAAAH9K940=")</f>
        <v>#VALUE!</v>
      </c>
      <c r="EM30" t="e">
        <f>AND('2015'!AS128,"AAAAAH9K944=")</f>
        <v>#VALUE!</v>
      </c>
      <c r="EN30" t="e">
        <f>AND('2015'!AT128,"AAAAAH9K948=")</f>
        <v>#VALUE!</v>
      </c>
      <c r="EO30" t="e">
        <f>AND('2015'!#REF!,"AAAAAH9K95A=")</f>
        <v>#REF!</v>
      </c>
      <c r="EP30" t="e">
        <f>AND('2015'!AU128,"AAAAAH9K95E=")</f>
        <v>#VALUE!</v>
      </c>
      <c r="EQ30" t="e">
        <f>AND('2015'!AV128,"AAAAAH9K95I=")</f>
        <v>#VALUE!</v>
      </c>
      <c r="ER30" t="e">
        <f>AND('2015'!AW128,"AAAAAH9K95M=")</f>
        <v>#VALUE!</v>
      </c>
      <c r="ES30" t="e">
        <f>AND('2015'!AX128,"AAAAAH9K95Q=")</f>
        <v>#VALUE!</v>
      </c>
      <c r="ET30" t="e">
        <f>AND('2015'!AY128,"AAAAAH9K95U=")</f>
        <v>#VALUE!</v>
      </c>
      <c r="EU30" t="e">
        <f>AND('2015'!AZ128,"AAAAAH9K95Y=")</f>
        <v>#VALUE!</v>
      </c>
      <c r="EV30" t="e">
        <f>AND('2015'!BA128,"AAAAAH9K95c=")</f>
        <v>#VALUE!</v>
      </c>
      <c r="EW30" t="e">
        <f>AND('2015'!BB128,"AAAAAH9K95g=")</f>
        <v>#VALUE!</v>
      </c>
      <c r="EX30" t="e">
        <f>AND('2015'!BC128,"AAAAAH9K95k=")</f>
        <v>#VALUE!</v>
      </c>
      <c r="EY30" t="e">
        <f>AND('2015'!BD128,"AAAAAH9K95o=")</f>
        <v>#VALUE!</v>
      </c>
      <c r="EZ30" t="e">
        <f>AND('2015'!BE128,"AAAAAH9K95s=")</f>
        <v>#VALUE!</v>
      </c>
      <c r="FA30" t="e">
        <f>AND('2015'!BF128,"AAAAAH9K95w=")</f>
        <v>#VALUE!</v>
      </c>
      <c r="FB30" t="e">
        <f>AND('2015'!BG128,"AAAAAH9K950=")</f>
        <v>#VALUE!</v>
      </c>
      <c r="FC30" t="e">
        <f>AND('2015'!BH128,"AAAAAH9K954=")</f>
        <v>#VALUE!</v>
      </c>
      <c r="FD30" t="e">
        <f>AND('2015'!BI128,"AAAAAH9K958=")</f>
        <v>#VALUE!</v>
      </c>
      <c r="FE30" t="e">
        <f>AND('2015'!#REF!,"AAAAAH9K96A=")</f>
        <v>#REF!</v>
      </c>
      <c r="FF30" t="e">
        <f>AND('2015'!BJ128,"AAAAAH9K96E=")</f>
        <v>#VALUE!</v>
      </c>
      <c r="FG30" t="e">
        <f>AND('2015'!BK128,"AAAAAH9K96I=")</f>
        <v>#VALUE!</v>
      </c>
      <c r="FH30" t="e">
        <f>AND('2015'!BL128,"AAAAAH9K96M=")</f>
        <v>#VALUE!</v>
      </c>
      <c r="FI30" t="e">
        <f>AND('2015'!BM128,"AAAAAH9K96Q=")</f>
        <v>#VALUE!</v>
      </c>
      <c r="FJ30" t="e">
        <f>AND('2015'!BY128,"AAAAAH9K96U=")</f>
        <v>#VALUE!</v>
      </c>
      <c r="FK30">
        <f>IF('2015'!129:129,"AAAAAH9K96Y=",0)</f>
        <v>0</v>
      </c>
      <c r="FL30" t="e">
        <f>AND('2015'!A129,"AAAAAH9K96c=")</f>
        <v>#VALUE!</v>
      </c>
      <c r="FM30" t="e">
        <f>AND('2015'!B129,"AAAAAH9K96g=")</f>
        <v>#VALUE!</v>
      </c>
      <c r="FN30" t="e">
        <f>AND('2015'!C129,"AAAAAH9K96k=")</f>
        <v>#VALUE!</v>
      </c>
      <c r="FO30" t="e">
        <f>AND('2015'!D129,"AAAAAH9K96o=")</f>
        <v>#VALUE!</v>
      </c>
      <c r="FP30" t="e">
        <f>AND('2015'!E129,"AAAAAH9K96s=")</f>
        <v>#VALUE!</v>
      </c>
      <c r="FQ30" t="e">
        <f>AND('2015'!F129,"AAAAAH9K96w=")</f>
        <v>#VALUE!</v>
      </c>
      <c r="FR30" t="e">
        <f>AND('2015'!G129,"AAAAAH9K960=")</f>
        <v>#VALUE!</v>
      </c>
      <c r="FS30" t="e">
        <f>AND('2015'!H129,"AAAAAH9K964=")</f>
        <v>#VALUE!</v>
      </c>
      <c r="FT30" t="e">
        <f>AND('2015'!I129,"AAAAAH9K968=")</f>
        <v>#VALUE!</v>
      </c>
      <c r="FU30" t="e">
        <f>AND('2015'!J129,"AAAAAH9K97A=")</f>
        <v>#VALUE!</v>
      </c>
      <c r="FV30" t="e">
        <f>AND('2015'!K129,"AAAAAH9K97E=")</f>
        <v>#VALUE!</v>
      </c>
      <c r="FW30" t="e">
        <f>AND('2015'!L129,"AAAAAH9K97I=")</f>
        <v>#VALUE!</v>
      </c>
      <c r="FX30" t="e">
        <f>AND('2015'!M129,"AAAAAH9K97M=")</f>
        <v>#VALUE!</v>
      </c>
      <c r="FY30" t="e">
        <f>AND('2015'!N129,"AAAAAH9K97Q=")</f>
        <v>#VALUE!</v>
      </c>
      <c r="FZ30" t="e">
        <f>AND('2015'!O129,"AAAAAH9K97U=")</f>
        <v>#VALUE!</v>
      </c>
      <c r="GA30" t="e">
        <f>AND('2015'!P129,"AAAAAH9K97Y=")</f>
        <v>#VALUE!</v>
      </c>
      <c r="GB30" t="e">
        <f>AND('2015'!Q129,"AAAAAH9K97c=")</f>
        <v>#VALUE!</v>
      </c>
      <c r="GC30" t="e">
        <f>AND('2015'!R129,"AAAAAH9K97g=")</f>
        <v>#VALUE!</v>
      </c>
      <c r="GD30" t="e">
        <f>AND('2015'!S129,"AAAAAH9K97k=")</f>
        <v>#VALUE!</v>
      </c>
      <c r="GE30" t="e">
        <f>AND('2015'!T129,"AAAAAH9K97o=")</f>
        <v>#VALUE!</v>
      </c>
      <c r="GF30" t="e">
        <f>AND('2015'!U129,"AAAAAH9K97s=")</f>
        <v>#VALUE!</v>
      </c>
      <c r="GG30" t="e">
        <f>AND('2015'!V129,"AAAAAH9K97w=")</f>
        <v>#VALUE!</v>
      </c>
      <c r="GH30" t="e">
        <f>AND('2015'!W129,"AAAAAH9K970=")</f>
        <v>#VALUE!</v>
      </c>
      <c r="GI30" t="e">
        <f>AND('2015'!X129,"AAAAAH9K974=")</f>
        <v>#VALUE!</v>
      </c>
      <c r="GJ30" t="e">
        <f>AND('2015'!Y129,"AAAAAH9K978=")</f>
        <v>#VALUE!</v>
      </c>
      <c r="GK30" t="e">
        <f>AND('2015'!Z129,"AAAAAH9K98A=")</f>
        <v>#VALUE!</v>
      </c>
      <c r="GL30" t="e">
        <f>AND('2015'!AA129,"AAAAAH9K98E=")</f>
        <v>#VALUE!</v>
      </c>
      <c r="GM30" t="e">
        <f>AND('2015'!AB129,"AAAAAH9K98I=")</f>
        <v>#VALUE!</v>
      </c>
      <c r="GN30" t="e">
        <f>AND('2015'!AC129,"AAAAAH9K98M=")</f>
        <v>#VALUE!</v>
      </c>
      <c r="GO30" t="e">
        <f>AND('2015'!AD129,"AAAAAH9K98Q=")</f>
        <v>#VALUE!</v>
      </c>
      <c r="GP30" t="e">
        <f>AND('2015'!AE129,"AAAAAH9K98U=")</f>
        <v>#VALUE!</v>
      </c>
      <c r="GQ30" t="e">
        <f>AND('2015'!AF129,"AAAAAH9K98Y=")</f>
        <v>#VALUE!</v>
      </c>
      <c r="GR30" t="e">
        <f>AND('2015'!AG129,"AAAAAH9K98c=")</f>
        <v>#VALUE!</v>
      </c>
      <c r="GS30" t="e">
        <f>AND('2015'!AH129,"AAAAAH9K98g=")</f>
        <v>#VALUE!</v>
      </c>
      <c r="GT30" t="e">
        <f>AND('2015'!AI129,"AAAAAH9K98k=")</f>
        <v>#VALUE!</v>
      </c>
      <c r="GU30" t="e">
        <f>AND('2015'!AJ129,"AAAAAH9K98o=")</f>
        <v>#VALUE!</v>
      </c>
      <c r="GV30" t="e">
        <f>AND('2015'!AK129,"AAAAAH9K98s=")</f>
        <v>#VALUE!</v>
      </c>
      <c r="GW30" t="e">
        <f>AND('2015'!AL129,"AAAAAH9K98w=")</f>
        <v>#VALUE!</v>
      </c>
      <c r="GX30" t="e">
        <f>AND('2015'!AM129,"AAAAAH9K980=")</f>
        <v>#VALUE!</v>
      </c>
      <c r="GY30" t="e">
        <f>AND('2015'!AN129,"AAAAAH9K984=")</f>
        <v>#VALUE!</v>
      </c>
      <c r="GZ30" t="e">
        <f>AND('2015'!AO129,"AAAAAH9K988=")</f>
        <v>#VALUE!</v>
      </c>
      <c r="HA30" t="e">
        <f>AND('2015'!AP129,"AAAAAH9K99A=")</f>
        <v>#VALUE!</v>
      </c>
      <c r="HB30" t="e">
        <f>AND('2015'!AQ129,"AAAAAH9K99E=")</f>
        <v>#VALUE!</v>
      </c>
      <c r="HC30" t="e">
        <f>AND('2015'!AR129,"AAAAAH9K99I=")</f>
        <v>#VALUE!</v>
      </c>
      <c r="HD30" t="e">
        <f>AND('2015'!AS129,"AAAAAH9K99M=")</f>
        <v>#VALUE!</v>
      </c>
      <c r="HE30" t="e">
        <f>AND('2015'!AT129,"AAAAAH9K99Q=")</f>
        <v>#VALUE!</v>
      </c>
      <c r="HF30" t="e">
        <f>AND('2015'!#REF!,"AAAAAH9K99U=")</f>
        <v>#REF!</v>
      </c>
      <c r="HG30" t="e">
        <f>AND('2015'!AU129,"AAAAAH9K99Y=")</f>
        <v>#VALUE!</v>
      </c>
      <c r="HH30" t="e">
        <f>AND('2015'!AV129,"AAAAAH9K99c=")</f>
        <v>#VALUE!</v>
      </c>
      <c r="HI30" t="e">
        <f>AND('2015'!AW129,"AAAAAH9K99g=")</f>
        <v>#VALUE!</v>
      </c>
      <c r="HJ30" t="e">
        <f>AND('2015'!AX129,"AAAAAH9K99k=")</f>
        <v>#VALUE!</v>
      </c>
      <c r="HK30" t="e">
        <f>AND('2015'!AY129,"AAAAAH9K99o=")</f>
        <v>#VALUE!</v>
      </c>
      <c r="HL30" t="e">
        <f>AND('2015'!AZ129,"AAAAAH9K99s=")</f>
        <v>#VALUE!</v>
      </c>
      <c r="HM30" t="e">
        <f>AND('2015'!BA129,"AAAAAH9K99w=")</f>
        <v>#VALUE!</v>
      </c>
      <c r="HN30" t="e">
        <f>AND('2015'!BB129,"AAAAAH9K990=")</f>
        <v>#VALUE!</v>
      </c>
      <c r="HO30" t="e">
        <f>AND('2015'!BC129,"AAAAAH9K994=")</f>
        <v>#VALUE!</v>
      </c>
      <c r="HP30" t="e">
        <f>AND('2015'!BD129,"AAAAAH9K998=")</f>
        <v>#VALUE!</v>
      </c>
      <c r="HQ30" t="e">
        <f>AND('2015'!BE129,"AAAAAH9K9+A=")</f>
        <v>#VALUE!</v>
      </c>
      <c r="HR30" t="e">
        <f>AND('2015'!BF129,"AAAAAH9K9+E=")</f>
        <v>#VALUE!</v>
      </c>
      <c r="HS30" t="e">
        <f>AND('2015'!BG129,"AAAAAH9K9+I=")</f>
        <v>#VALUE!</v>
      </c>
      <c r="HT30" t="e">
        <f>AND('2015'!BH129,"AAAAAH9K9+M=")</f>
        <v>#VALUE!</v>
      </c>
      <c r="HU30" t="e">
        <f>AND('2015'!BI129,"AAAAAH9K9+Q=")</f>
        <v>#VALUE!</v>
      </c>
      <c r="HV30" t="e">
        <f>AND('2015'!#REF!,"AAAAAH9K9+U=")</f>
        <v>#REF!</v>
      </c>
      <c r="HW30" t="e">
        <f>AND('2015'!BJ129,"AAAAAH9K9+Y=")</f>
        <v>#VALUE!</v>
      </c>
      <c r="HX30" t="e">
        <f>AND('2015'!BK129,"AAAAAH9K9+c=")</f>
        <v>#VALUE!</v>
      </c>
      <c r="HY30" t="e">
        <f>AND('2015'!BL129,"AAAAAH9K9+g=")</f>
        <v>#VALUE!</v>
      </c>
      <c r="HZ30" t="e">
        <f>AND('2015'!BM129,"AAAAAH9K9+k=")</f>
        <v>#VALUE!</v>
      </c>
      <c r="IA30" t="e">
        <f>AND('2015'!BY129,"AAAAAH9K9+o=")</f>
        <v>#VALUE!</v>
      </c>
      <c r="IB30">
        <f>IF('2015'!130:130,"AAAAAH9K9+s=",0)</f>
        <v>0</v>
      </c>
      <c r="IC30" t="e">
        <f>AND('2015'!A130,"AAAAAH9K9+w=")</f>
        <v>#VALUE!</v>
      </c>
      <c r="ID30" t="e">
        <f>AND('2015'!B130,"AAAAAH9K9+0=")</f>
        <v>#VALUE!</v>
      </c>
      <c r="IE30" t="e">
        <f>AND('2015'!C130,"AAAAAH9K9+4=")</f>
        <v>#VALUE!</v>
      </c>
      <c r="IF30" t="e">
        <f>AND('2015'!D130,"AAAAAH9K9+8=")</f>
        <v>#VALUE!</v>
      </c>
      <c r="IG30" t="e">
        <f>AND('2015'!E130,"AAAAAH9K9/A=")</f>
        <v>#VALUE!</v>
      </c>
      <c r="IH30" t="e">
        <f>AND('2015'!F130,"AAAAAH9K9/E=")</f>
        <v>#VALUE!</v>
      </c>
      <c r="II30" t="e">
        <f>AND('2015'!G130,"AAAAAH9K9/I=")</f>
        <v>#VALUE!</v>
      </c>
      <c r="IJ30" t="e">
        <f>AND('2015'!H130,"AAAAAH9K9/M=")</f>
        <v>#VALUE!</v>
      </c>
      <c r="IK30" t="e">
        <f>AND('2015'!I130,"AAAAAH9K9/Q=")</f>
        <v>#VALUE!</v>
      </c>
      <c r="IL30" t="e">
        <f>AND('2015'!J130,"AAAAAH9K9/U=")</f>
        <v>#VALUE!</v>
      </c>
      <c r="IM30" t="e">
        <f>AND('2015'!K130,"AAAAAH9K9/Y=")</f>
        <v>#VALUE!</v>
      </c>
      <c r="IN30" t="e">
        <f>AND('2015'!L130,"AAAAAH9K9/c=")</f>
        <v>#VALUE!</v>
      </c>
      <c r="IO30" t="e">
        <f>AND('2015'!M130,"AAAAAH9K9/g=")</f>
        <v>#VALUE!</v>
      </c>
      <c r="IP30" t="e">
        <f>AND('2015'!N130,"AAAAAH9K9/k=")</f>
        <v>#VALUE!</v>
      </c>
      <c r="IQ30" t="e">
        <f>AND('2015'!O130,"AAAAAH9K9/o=")</f>
        <v>#VALUE!</v>
      </c>
      <c r="IR30" t="e">
        <f>AND('2015'!P130,"AAAAAH9K9/s=")</f>
        <v>#VALUE!</v>
      </c>
      <c r="IS30" t="e">
        <f>AND('2015'!Q130,"AAAAAH9K9/w=")</f>
        <v>#VALUE!</v>
      </c>
      <c r="IT30" t="e">
        <f>AND('2015'!R130,"AAAAAH9K9/0=")</f>
        <v>#VALUE!</v>
      </c>
      <c r="IU30" t="e">
        <f>AND('2015'!S130,"AAAAAH9K9/4=")</f>
        <v>#VALUE!</v>
      </c>
      <c r="IV30" t="e">
        <f>AND('2015'!T130,"AAAAAH9K9/8=")</f>
        <v>#VALUE!</v>
      </c>
    </row>
    <row r="31" spans="1:256" x14ac:dyDescent="0.25">
      <c r="A31" t="e">
        <f>AND('2015'!U130,"AAAAAHU9/gA=")</f>
        <v>#VALUE!</v>
      </c>
      <c r="B31" t="e">
        <f>AND('2015'!V130,"AAAAAHU9/gE=")</f>
        <v>#VALUE!</v>
      </c>
      <c r="C31" t="e">
        <f>AND('2015'!W130,"AAAAAHU9/gI=")</f>
        <v>#VALUE!</v>
      </c>
      <c r="D31" t="e">
        <f>AND('2015'!X130,"AAAAAHU9/gM=")</f>
        <v>#VALUE!</v>
      </c>
      <c r="E31" t="e">
        <f>AND('2015'!Y130,"AAAAAHU9/gQ=")</f>
        <v>#VALUE!</v>
      </c>
      <c r="F31" t="e">
        <f>AND('2015'!Z130,"AAAAAHU9/gU=")</f>
        <v>#VALUE!</v>
      </c>
      <c r="G31" t="e">
        <f>AND('2015'!AA130,"AAAAAHU9/gY=")</f>
        <v>#VALUE!</v>
      </c>
      <c r="H31" t="e">
        <f>AND('2015'!AB130,"AAAAAHU9/gc=")</f>
        <v>#VALUE!</v>
      </c>
      <c r="I31" t="e">
        <f>AND('2015'!AC130,"AAAAAHU9/gg=")</f>
        <v>#VALUE!</v>
      </c>
      <c r="J31" t="e">
        <f>AND('2015'!AD130,"AAAAAHU9/gk=")</f>
        <v>#VALUE!</v>
      </c>
      <c r="K31" t="e">
        <f>AND('2015'!AE130,"AAAAAHU9/go=")</f>
        <v>#VALUE!</v>
      </c>
      <c r="L31" t="e">
        <f>AND('2015'!AF130,"AAAAAHU9/gs=")</f>
        <v>#VALUE!</v>
      </c>
      <c r="M31" t="e">
        <f>AND('2015'!AG130,"AAAAAHU9/gw=")</f>
        <v>#VALUE!</v>
      </c>
      <c r="N31" t="e">
        <f>AND('2015'!AH130,"AAAAAHU9/g0=")</f>
        <v>#VALUE!</v>
      </c>
      <c r="O31" t="e">
        <f>AND('2015'!AI130,"AAAAAHU9/g4=")</f>
        <v>#VALUE!</v>
      </c>
      <c r="P31" t="e">
        <f>AND('2015'!AJ130,"AAAAAHU9/g8=")</f>
        <v>#VALUE!</v>
      </c>
      <c r="Q31" t="e">
        <f>AND('2015'!AK130,"AAAAAHU9/hA=")</f>
        <v>#VALUE!</v>
      </c>
      <c r="R31" t="e">
        <f>AND('2015'!AL130,"AAAAAHU9/hE=")</f>
        <v>#VALUE!</v>
      </c>
      <c r="S31" t="e">
        <f>AND('2015'!AM130,"AAAAAHU9/hI=")</f>
        <v>#VALUE!</v>
      </c>
      <c r="T31" t="e">
        <f>AND('2015'!AN130,"AAAAAHU9/hM=")</f>
        <v>#VALUE!</v>
      </c>
      <c r="U31" t="e">
        <f>AND('2015'!AO130,"AAAAAHU9/hQ=")</f>
        <v>#VALUE!</v>
      </c>
      <c r="V31" t="e">
        <f>AND('2015'!AP130,"AAAAAHU9/hU=")</f>
        <v>#VALUE!</v>
      </c>
      <c r="W31" t="e">
        <f>AND('2015'!AQ130,"AAAAAHU9/hY=")</f>
        <v>#VALUE!</v>
      </c>
      <c r="X31" t="e">
        <f>AND('2015'!AR130,"AAAAAHU9/hc=")</f>
        <v>#VALUE!</v>
      </c>
      <c r="Y31" t="e">
        <f>AND('2015'!AS130,"AAAAAHU9/hg=")</f>
        <v>#VALUE!</v>
      </c>
      <c r="Z31" t="e">
        <f>AND('2015'!AT130,"AAAAAHU9/hk=")</f>
        <v>#VALUE!</v>
      </c>
      <c r="AA31" t="e">
        <f>AND('2015'!#REF!,"AAAAAHU9/ho=")</f>
        <v>#REF!</v>
      </c>
      <c r="AB31" t="e">
        <f>AND('2015'!AU130,"AAAAAHU9/hs=")</f>
        <v>#VALUE!</v>
      </c>
      <c r="AC31" t="e">
        <f>AND('2015'!AV130,"AAAAAHU9/hw=")</f>
        <v>#VALUE!</v>
      </c>
      <c r="AD31" t="e">
        <f>AND('2015'!AW130,"AAAAAHU9/h0=")</f>
        <v>#VALUE!</v>
      </c>
      <c r="AE31" t="e">
        <f>AND('2015'!AX130,"AAAAAHU9/h4=")</f>
        <v>#VALUE!</v>
      </c>
      <c r="AF31" t="e">
        <f>AND('2015'!AY130,"AAAAAHU9/h8=")</f>
        <v>#VALUE!</v>
      </c>
      <c r="AG31" t="e">
        <f>AND('2015'!AZ130,"AAAAAHU9/iA=")</f>
        <v>#VALUE!</v>
      </c>
      <c r="AH31" t="e">
        <f>AND('2015'!BA130,"AAAAAHU9/iE=")</f>
        <v>#VALUE!</v>
      </c>
      <c r="AI31" t="e">
        <f>AND('2015'!BB130,"AAAAAHU9/iI=")</f>
        <v>#VALUE!</v>
      </c>
      <c r="AJ31" t="e">
        <f>AND('2015'!BC130,"AAAAAHU9/iM=")</f>
        <v>#VALUE!</v>
      </c>
      <c r="AK31" t="e">
        <f>AND('2015'!BD130,"AAAAAHU9/iQ=")</f>
        <v>#VALUE!</v>
      </c>
      <c r="AL31" t="e">
        <f>AND('2015'!BE130,"AAAAAHU9/iU=")</f>
        <v>#VALUE!</v>
      </c>
      <c r="AM31" t="e">
        <f>AND('2015'!BF130,"AAAAAHU9/iY=")</f>
        <v>#VALUE!</v>
      </c>
      <c r="AN31" t="e">
        <f>AND('2015'!BG130,"AAAAAHU9/ic=")</f>
        <v>#VALUE!</v>
      </c>
      <c r="AO31" t="e">
        <f>AND('2015'!BH130,"AAAAAHU9/ig=")</f>
        <v>#VALUE!</v>
      </c>
      <c r="AP31" t="e">
        <f>AND('2015'!BI130,"AAAAAHU9/ik=")</f>
        <v>#VALUE!</v>
      </c>
      <c r="AQ31" t="e">
        <f>AND('2015'!#REF!,"AAAAAHU9/io=")</f>
        <v>#REF!</v>
      </c>
      <c r="AR31" t="e">
        <f>AND('2015'!BJ130,"AAAAAHU9/is=")</f>
        <v>#VALUE!</v>
      </c>
      <c r="AS31" t="e">
        <f>AND('2015'!BK130,"AAAAAHU9/iw=")</f>
        <v>#VALUE!</v>
      </c>
      <c r="AT31" t="e">
        <f>AND('2015'!BL130,"AAAAAHU9/i0=")</f>
        <v>#VALUE!</v>
      </c>
      <c r="AU31" t="e">
        <f>AND('2015'!BM130,"AAAAAHU9/i4=")</f>
        <v>#VALUE!</v>
      </c>
      <c r="AV31" t="e">
        <f>AND('2015'!BY130,"AAAAAHU9/i8=")</f>
        <v>#VALUE!</v>
      </c>
      <c r="AW31">
        <f>IF('2015'!131:131,"AAAAAHU9/jA=",0)</f>
        <v>0</v>
      </c>
      <c r="AX31" t="e">
        <f>AND('2015'!A131,"AAAAAHU9/jE=")</f>
        <v>#VALUE!</v>
      </c>
      <c r="AY31" t="e">
        <f>AND('2015'!B131,"AAAAAHU9/jI=")</f>
        <v>#VALUE!</v>
      </c>
      <c r="AZ31" t="e">
        <f>AND('2015'!C131,"AAAAAHU9/jM=")</f>
        <v>#VALUE!</v>
      </c>
      <c r="BA31" t="e">
        <f>AND('2015'!D131,"AAAAAHU9/jQ=")</f>
        <v>#VALUE!</v>
      </c>
      <c r="BB31" t="e">
        <f>AND('2015'!E131,"AAAAAHU9/jU=")</f>
        <v>#VALUE!</v>
      </c>
      <c r="BC31" t="e">
        <f>AND('2015'!F131,"AAAAAHU9/jY=")</f>
        <v>#VALUE!</v>
      </c>
      <c r="BD31" t="e">
        <f>AND('2015'!G131,"AAAAAHU9/jc=")</f>
        <v>#VALUE!</v>
      </c>
      <c r="BE31" t="e">
        <f>AND('2015'!H131,"AAAAAHU9/jg=")</f>
        <v>#VALUE!</v>
      </c>
      <c r="BF31" t="e">
        <f>AND('2015'!I131,"AAAAAHU9/jk=")</f>
        <v>#VALUE!</v>
      </c>
      <c r="BG31" t="e">
        <f>AND('2015'!J131,"AAAAAHU9/jo=")</f>
        <v>#VALUE!</v>
      </c>
      <c r="BH31" t="e">
        <f>AND('2015'!K131,"AAAAAHU9/js=")</f>
        <v>#VALUE!</v>
      </c>
      <c r="BI31" t="e">
        <f>AND('2015'!L131,"AAAAAHU9/jw=")</f>
        <v>#VALUE!</v>
      </c>
      <c r="BJ31" t="e">
        <f>AND('2015'!M131,"AAAAAHU9/j0=")</f>
        <v>#VALUE!</v>
      </c>
      <c r="BK31" t="e">
        <f>AND('2015'!N131,"AAAAAHU9/j4=")</f>
        <v>#VALUE!</v>
      </c>
      <c r="BL31" t="e">
        <f>AND('2015'!O131,"AAAAAHU9/j8=")</f>
        <v>#VALUE!</v>
      </c>
      <c r="BM31" t="e">
        <f>AND('2015'!P131,"AAAAAHU9/kA=")</f>
        <v>#VALUE!</v>
      </c>
      <c r="BN31" t="e">
        <f>AND('2015'!Q131,"AAAAAHU9/kE=")</f>
        <v>#VALUE!</v>
      </c>
      <c r="BO31" t="e">
        <f>AND('2015'!R131,"AAAAAHU9/kI=")</f>
        <v>#VALUE!</v>
      </c>
      <c r="BP31" t="e">
        <f>AND('2015'!S131,"AAAAAHU9/kM=")</f>
        <v>#VALUE!</v>
      </c>
      <c r="BQ31" t="e">
        <f>AND('2015'!T131,"AAAAAHU9/kQ=")</f>
        <v>#VALUE!</v>
      </c>
      <c r="BR31" t="e">
        <f>AND('2015'!U131,"AAAAAHU9/kU=")</f>
        <v>#VALUE!</v>
      </c>
      <c r="BS31" t="e">
        <f>AND('2015'!V131,"AAAAAHU9/kY=")</f>
        <v>#VALUE!</v>
      </c>
      <c r="BT31" t="e">
        <f>AND('2015'!W131,"AAAAAHU9/kc=")</f>
        <v>#VALUE!</v>
      </c>
      <c r="BU31" t="e">
        <f>AND('2015'!X131,"AAAAAHU9/kg=")</f>
        <v>#VALUE!</v>
      </c>
      <c r="BV31" t="e">
        <f>AND('2015'!Y131,"AAAAAHU9/kk=")</f>
        <v>#VALUE!</v>
      </c>
      <c r="BW31" t="e">
        <f>AND('2015'!Z131,"AAAAAHU9/ko=")</f>
        <v>#VALUE!</v>
      </c>
      <c r="BX31" t="e">
        <f>AND('2015'!AA131,"AAAAAHU9/ks=")</f>
        <v>#VALUE!</v>
      </c>
      <c r="BY31" t="e">
        <f>AND('2015'!AB131,"AAAAAHU9/kw=")</f>
        <v>#VALUE!</v>
      </c>
      <c r="BZ31" t="e">
        <f>AND('2015'!AC131,"AAAAAHU9/k0=")</f>
        <v>#VALUE!</v>
      </c>
      <c r="CA31" t="e">
        <f>AND('2015'!AD131,"AAAAAHU9/k4=")</f>
        <v>#VALUE!</v>
      </c>
      <c r="CB31" t="e">
        <f>AND('2015'!AE131,"AAAAAHU9/k8=")</f>
        <v>#VALUE!</v>
      </c>
      <c r="CC31" t="e">
        <f>AND('2015'!AF131,"AAAAAHU9/lA=")</f>
        <v>#VALUE!</v>
      </c>
      <c r="CD31" t="e">
        <f>AND('2015'!AG131,"AAAAAHU9/lE=")</f>
        <v>#VALUE!</v>
      </c>
      <c r="CE31" t="e">
        <f>AND('2015'!AH131,"AAAAAHU9/lI=")</f>
        <v>#VALUE!</v>
      </c>
      <c r="CF31" t="e">
        <f>AND('2015'!AI131,"AAAAAHU9/lM=")</f>
        <v>#VALUE!</v>
      </c>
      <c r="CG31" t="e">
        <f>AND('2015'!AJ131,"AAAAAHU9/lQ=")</f>
        <v>#VALUE!</v>
      </c>
      <c r="CH31" t="e">
        <f>AND('2015'!AK131,"AAAAAHU9/lU=")</f>
        <v>#VALUE!</v>
      </c>
      <c r="CI31" t="e">
        <f>AND('2015'!AL131,"AAAAAHU9/lY=")</f>
        <v>#VALUE!</v>
      </c>
      <c r="CJ31" t="e">
        <f>AND('2015'!AM131,"AAAAAHU9/lc=")</f>
        <v>#VALUE!</v>
      </c>
      <c r="CK31" t="e">
        <f>AND('2015'!AN131,"AAAAAHU9/lg=")</f>
        <v>#VALUE!</v>
      </c>
      <c r="CL31" t="e">
        <f>AND('2015'!AO131,"AAAAAHU9/lk=")</f>
        <v>#VALUE!</v>
      </c>
      <c r="CM31" t="e">
        <f>AND('2015'!AP131,"AAAAAHU9/lo=")</f>
        <v>#VALUE!</v>
      </c>
      <c r="CN31" t="e">
        <f>AND('2015'!AQ131,"AAAAAHU9/ls=")</f>
        <v>#VALUE!</v>
      </c>
      <c r="CO31" t="e">
        <f>AND('2015'!AR131,"AAAAAHU9/lw=")</f>
        <v>#VALUE!</v>
      </c>
      <c r="CP31" t="e">
        <f>AND('2015'!AS131,"AAAAAHU9/l0=")</f>
        <v>#VALUE!</v>
      </c>
      <c r="CQ31" t="e">
        <f>AND('2015'!AT131,"AAAAAHU9/l4=")</f>
        <v>#VALUE!</v>
      </c>
      <c r="CR31" t="e">
        <f>AND('2015'!#REF!,"AAAAAHU9/l8=")</f>
        <v>#REF!</v>
      </c>
      <c r="CS31" t="e">
        <f>AND('2015'!AU131,"AAAAAHU9/mA=")</f>
        <v>#VALUE!</v>
      </c>
      <c r="CT31" t="e">
        <f>AND('2015'!AV131,"AAAAAHU9/mE=")</f>
        <v>#VALUE!</v>
      </c>
      <c r="CU31" t="e">
        <f>AND('2015'!AW131,"AAAAAHU9/mI=")</f>
        <v>#VALUE!</v>
      </c>
      <c r="CV31" t="e">
        <f>AND('2015'!AX131,"AAAAAHU9/mM=")</f>
        <v>#VALUE!</v>
      </c>
      <c r="CW31" t="e">
        <f>AND('2015'!AY131,"AAAAAHU9/mQ=")</f>
        <v>#VALUE!</v>
      </c>
      <c r="CX31" t="e">
        <f>AND('2015'!AZ131,"AAAAAHU9/mU=")</f>
        <v>#VALUE!</v>
      </c>
      <c r="CY31" t="e">
        <f>AND('2015'!BA131,"AAAAAHU9/mY=")</f>
        <v>#VALUE!</v>
      </c>
      <c r="CZ31" t="e">
        <f>AND('2015'!BB131,"AAAAAHU9/mc=")</f>
        <v>#VALUE!</v>
      </c>
      <c r="DA31" t="e">
        <f>AND('2015'!BC131,"AAAAAHU9/mg=")</f>
        <v>#VALUE!</v>
      </c>
      <c r="DB31" t="e">
        <f>AND('2015'!BD131,"AAAAAHU9/mk=")</f>
        <v>#VALUE!</v>
      </c>
      <c r="DC31" t="e">
        <f>AND('2015'!BE131,"AAAAAHU9/mo=")</f>
        <v>#VALUE!</v>
      </c>
      <c r="DD31" t="e">
        <f>AND('2015'!BF131,"AAAAAHU9/ms=")</f>
        <v>#VALUE!</v>
      </c>
      <c r="DE31" t="e">
        <f>AND('2015'!BG131,"AAAAAHU9/mw=")</f>
        <v>#VALUE!</v>
      </c>
      <c r="DF31" t="e">
        <f>AND('2015'!BH131,"AAAAAHU9/m0=")</f>
        <v>#VALUE!</v>
      </c>
      <c r="DG31" t="e">
        <f>AND('2015'!BI131,"AAAAAHU9/m4=")</f>
        <v>#VALUE!</v>
      </c>
      <c r="DH31" t="e">
        <f>AND('2015'!#REF!,"AAAAAHU9/m8=")</f>
        <v>#REF!</v>
      </c>
      <c r="DI31" t="e">
        <f>AND('2015'!BJ131,"AAAAAHU9/nA=")</f>
        <v>#VALUE!</v>
      </c>
      <c r="DJ31" t="e">
        <f>AND('2015'!BK131,"AAAAAHU9/nE=")</f>
        <v>#VALUE!</v>
      </c>
      <c r="DK31" t="e">
        <f>AND('2015'!BL131,"AAAAAHU9/nI=")</f>
        <v>#VALUE!</v>
      </c>
      <c r="DL31" t="e">
        <f>AND('2015'!BM131,"AAAAAHU9/nM=")</f>
        <v>#VALUE!</v>
      </c>
      <c r="DM31" t="e">
        <f>AND('2015'!BY131,"AAAAAHU9/nQ=")</f>
        <v>#VALUE!</v>
      </c>
      <c r="DN31">
        <f>IF('2015'!132:132,"AAAAAHU9/nU=",0)</f>
        <v>0</v>
      </c>
      <c r="DO31" t="e">
        <f>AND('2015'!A132,"AAAAAHU9/nY=")</f>
        <v>#VALUE!</v>
      </c>
      <c r="DP31" t="e">
        <f>AND('2015'!B132,"AAAAAHU9/nc=")</f>
        <v>#VALUE!</v>
      </c>
      <c r="DQ31" t="e">
        <f>AND('2015'!C132,"AAAAAHU9/ng=")</f>
        <v>#VALUE!</v>
      </c>
      <c r="DR31" t="e">
        <f>AND('2015'!D132,"AAAAAHU9/nk=")</f>
        <v>#VALUE!</v>
      </c>
      <c r="DS31" t="e">
        <f>AND('2015'!E132,"AAAAAHU9/no=")</f>
        <v>#VALUE!</v>
      </c>
      <c r="DT31" t="e">
        <f>AND('2015'!F132,"AAAAAHU9/ns=")</f>
        <v>#VALUE!</v>
      </c>
      <c r="DU31" t="e">
        <f>AND('2015'!G132,"AAAAAHU9/nw=")</f>
        <v>#VALUE!</v>
      </c>
      <c r="DV31" t="e">
        <f>AND('2015'!H132,"AAAAAHU9/n0=")</f>
        <v>#VALUE!</v>
      </c>
      <c r="DW31" t="e">
        <f>AND('2015'!I132,"AAAAAHU9/n4=")</f>
        <v>#VALUE!</v>
      </c>
      <c r="DX31" t="e">
        <f>AND('2015'!J132,"AAAAAHU9/n8=")</f>
        <v>#VALUE!</v>
      </c>
      <c r="DY31" t="e">
        <f>AND('2015'!K132,"AAAAAHU9/oA=")</f>
        <v>#VALUE!</v>
      </c>
      <c r="DZ31" t="e">
        <f>AND('2015'!L132,"AAAAAHU9/oE=")</f>
        <v>#VALUE!</v>
      </c>
      <c r="EA31" t="e">
        <f>AND('2015'!M132,"AAAAAHU9/oI=")</f>
        <v>#VALUE!</v>
      </c>
      <c r="EB31" t="e">
        <f>AND('2015'!N132,"AAAAAHU9/oM=")</f>
        <v>#VALUE!</v>
      </c>
      <c r="EC31" t="e">
        <f>AND('2015'!O132,"AAAAAHU9/oQ=")</f>
        <v>#VALUE!</v>
      </c>
      <c r="ED31" t="e">
        <f>AND('2015'!P132,"AAAAAHU9/oU=")</f>
        <v>#VALUE!</v>
      </c>
      <c r="EE31" t="e">
        <f>AND('2015'!Q132,"AAAAAHU9/oY=")</f>
        <v>#VALUE!</v>
      </c>
      <c r="EF31" t="e">
        <f>AND('2015'!R132,"AAAAAHU9/oc=")</f>
        <v>#VALUE!</v>
      </c>
      <c r="EG31" t="e">
        <f>AND('2015'!S132,"AAAAAHU9/og=")</f>
        <v>#VALUE!</v>
      </c>
      <c r="EH31" t="e">
        <f>AND('2015'!T132,"AAAAAHU9/ok=")</f>
        <v>#VALUE!</v>
      </c>
      <c r="EI31" t="e">
        <f>AND('2015'!U132,"AAAAAHU9/oo=")</f>
        <v>#VALUE!</v>
      </c>
      <c r="EJ31" t="e">
        <f>AND('2015'!V132,"AAAAAHU9/os=")</f>
        <v>#VALUE!</v>
      </c>
      <c r="EK31" t="e">
        <f>AND('2015'!W132,"AAAAAHU9/ow=")</f>
        <v>#VALUE!</v>
      </c>
      <c r="EL31" t="e">
        <f>AND('2015'!X132,"AAAAAHU9/o0=")</f>
        <v>#VALUE!</v>
      </c>
      <c r="EM31" t="e">
        <f>AND('2015'!Y132,"AAAAAHU9/o4=")</f>
        <v>#VALUE!</v>
      </c>
      <c r="EN31" t="e">
        <f>AND('2015'!Z132,"AAAAAHU9/o8=")</f>
        <v>#VALUE!</v>
      </c>
      <c r="EO31" t="e">
        <f>AND('2015'!AA132,"AAAAAHU9/pA=")</f>
        <v>#VALUE!</v>
      </c>
      <c r="EP31" t="e">
        <f>AND('2015'!AB132,"AAAAAHU9/pE=")</f>
        <v>#VALUE!</v>
      </c>
      <c r="EQ31" t="e">
        <f>AND('2015'!AC132,"AAAAAHU9/pI=")</f>
        <v>#VALUE!</v>
      </c>
      <c r="ER31" t="e">
        <f>AND('2015'!AD132,"AAAAAHU9/pM=")</f>
        <v>#VALUE!</v>
      </c>
      <c r="ES31" t="e">
        <f>AND('2015'!AE132,"AAAAAHU9/pQ=")</f>
        <v>#VALUE!</v>
      </c>
      <c r="ET31" t="e">
        <f>AND('2015'!AF132,"AAAAAHU9/pU=")</f>
        <v>#VALUE!</v>
      </c>
      <c r="EU31" t="e">
        <f>AND('2015'!AG132,"AAAAAHU9/pY=")</f>
        <v>#VALUE!</v>
      </c>
      <c r="EV31" t="e">
        <f>AND('2015'!AH132,"AAAAAHU9/pc=")</f>
        <v>#VALUE!</v>
      </c>
      <c r="EW31" t="e">
        <f>AND('2015'!AI132,"AAAAAHU9/pg=")</f>
        <v>#VALUE!</v>
      </c>
      <c r="EX31" t="e">
        <f>AND('2015'!AJ132,"AAAAAHU9/pk=")</f>
        <v>#VALUE!</v>
      </c>
      <c r="EY31" t="e">
        <f>AND('2015'!AK132,"AAAAAHU9/po=")</f>
        <v>#VALUE!</v>
      </c>
      <c r="EZ31" t="e">
        <f>AND('2015'!AL132,"AAAAAHU9/ps=")</f>
        <v>#VALUE!</v>
      </c>
      <c r="FA31" t="e">
        <f>AND('2015'!AM132,"AAAAAHU9/pw=")</f>
        <v>#VALUE!</v>
      </c>
      <c r="FB31" t="e">
        <f>AND('2015'!AN132,"AAAAAHU9/p0=")</f>
        <v>#VALUE!</v>
      </c>
      <c r="FC31" t="e">
        <f>AND('2015'!AO132,"AAAAAHU9/p4=")</f>
        <v>#VALUE!</v>
      </c>
      <c r="FD31" t="e">
        <f>AND('2015'!AP132,"AAAAAHU9/p8=")</f>
        <v>#VALUE!</v>
      </c>
      <c r="FE31" t="e">
        <f>AND('2015'!AQ132,"AAAAAHU9/qA=")</f>
        <v>#VALUE!</v>
      </c>
      <c r="FF31" t="e">
        <f>AND('2015'!AR132,"AAAAAHU9/qE=")</f>
        <v>#VALUE!</v>
      </c>
      <c r="FG31" t="e">
        <f>AND('2015'!AS132,"AAAAAHU9/qI=")</f>
        <v>#VALUE!</v>
      </c>
      <c r="FH31" t="e">
        <f>AND('2015'!AT132,"AAAAAHU9/qM=")</f>
        <v>#VALUE!</v>
      </c>
      <c r="FI31" t="e">
        <f>AND('2015'!#REF!,"AAAAAHU9/qQ=")</f>
        <v>#REF!</v>
      </c>
      <c r="FJ31" t="e">
        <f>AND('2015'!AU132,"AAAAAHU9/qU=")</f>
        <v>#VALUE!</v>
      </c>
      <c r="FK31" t="e">
        <f>AND('2015'!AV132,"AAAAAHU9/qY=")</f>
        <v>#VALUE!</v>
      </c>
      <c r="FL31" t="e">
        <f>AND('2015'!AW132,"AAAAAHU9/qc=")</f>
        <v>#VALUE!</v>
      </c>
      <c r="FM31" t="e">
        <f>AND('2015'!AX132,"AAAAAHU9/qg=")</f>
        <v>#VALUE!</v>
      </c>
      <c r="FN31" t="e">
        <f>AND('2015'!AY132,"AAAAAHU9/qk=")</f>
        <v>#VALUE!</v>
      </c>
      <c r="FO31" t="e">
        <f>AND('2015'!AZ132,"AAAAAHU9/qo=")</f>
        <v>#VALUE!</v>
      </c>
      <c r="FP31" t="e">
        <f>AND('2015'!BA132,"AAAAAHU9/qs=")</f>
        <v>#VALUE!</v>
      </c>
      <c r="FQ31" t="e">
        <f>AND('2015'!BB132,"AAAAAHU9/qw=")</f>
        <v>#VALUE!</v>
      </c>
      <c r="FR31" t="e">
        <f>AND('2015'!BC132,"AAAAAHU9/q0=")</f>
        <v>#VALUE!</v>
      </c>
      <c r="FS31" t="e">
        <f>AND('2015'!BD132,"AAAAAHU9/q4=")</f>
        <v>#VALUE!</v>
      </c>
      <c r="FT31" t="e">
        <f>AND('2015'!BE132,"AAAAAHU9/q8=")</f>
        <v>#VALUE!</v>
      </c>
      <c r="FU31" t="e">
        <f>AND('2015'!BF132,"AAAAAHU9/rA=")</f>
        <v>#VALUE!</v>
      </c>
      <c r="FV31" t="e">
        <f>AND('2015'!BG132,"AAAAAHU9/rE=")</f>
        <v>#VALUE!</v>
      </c>
      <c r="FW31" t="e">
        <f>AND('2015'!BH132,"AAAAAHU9/rI=")</f>
        <v>#VALUE!</v>
      </c>
      <c r="FX31" t="e">
        <f>AND('2015'!BI132,"AAAAAHU9/rM=")</f>
        <v>#VALUE!</v>
      </c>
      <c r="FY31" t="e">
        <f>AND('2015'!#REF!,"AAAAAHU9/rQ=")</f>
        <v>#REF!</v>
      </c>
      <c r="FZ31" t="e">
        <f>AND('2015'!BJ132,"AAAAAHU9/rU=")</f>
        <v>#VALUE!</v>
      </c>
      <c r="GA31" t="e">
        <f>AND('2015'!BK132,"AAAAAHU9/rY=")</f>
        <v>#VALUE!</v>
      </c>
      <c r="GB31" t="e">
        <f>AND('2015'!BL132,"AAAAAHU9/rc=")</f>
        <v>#VALUE!</v>
      </c>
      <c r="GC31" t="e">
        <f>AND('2015'!BM132,"AAAAAHU9/rg=")</f>
        <v>#VALUE!</v>
      </c>
      <c r="GD31" t="e">
        <f>AND('2015'!BY132,"AAAAAHU9/rk=")</f>
        <v>#VALUE!</v>
      </c>
      <c r="GE31">
        <f>IF('2015'!133:133,"AAAAAHU9/ro=",0)</f>
        <v>0</v>
      </c>
      <c r="GF31" t="e">
        <f>AND('2015'!A133,"AAAAAHU9/rs=")</f>
        <v>#VALUE!</v>
      </c>
      <c r="GG31" t="e">
        <f>AND('2015'!B133,"AAAAAHU9/rw=")</f>
        <v>#VALUE!</v>
      </c>
      <c r="GH31" t="e">
        <f>AND('2015'!C133,"AAAAAHU9/r0=")</f>
        <v>#VALUE!</v>
      </c>
      <c r="GI31" t="e">
        <f>AND('2015'!D133,"AAAAAHU9/r4=")</f>
        <v>#VALUE!</v>
      </c>
      <c r="GJ31" t="e">
        <f>AND('2015'!E133,"AAAAAHU9/r8=")</f>
        <v>#VALUE!</v>
      </c>
      <c r="GK31" t="e">
        <f>AND('2015'!F133,"AAAAAHU9/sA=")</f>
        <v>#VALUE!</v>
      </c>
      <c r="GL31" t="e">
        <f>AND('2015'!G133,"AAAAAHU9/sE=")</f>
        <v>#VALUE!</v>
      </c>
      <c r="GM31" t="e">
        <f>AND('2015'!H133,"AAAAAHU9/sI=")</f>
        <v>#VALUE!</v>
      </c>
      <c r="GN31" t="e">
        <f>AND('2015'!I133,"AAAAAHU9/sM=")</f>
        <v>#VALUE!</v>
      </c>
      <c r="GO31" t="e">
        <f>AND('2015'!J133,"AAAAAHU9/sQ=")</f>
        <v>#VALUE!</v>
      </c>
      <c r="GP31" t="e">
        <f>AND('2015'!K133,"AAAAAHU9/sU=")</f>
        <v>#VALUE!</v>
      </c>
      <c r="GQ31" t="e">
        <f>AND('2015'!L133,"AAAAAHU9/sY=")</f>
        <v>#VALUE!</v>
      </c>
      <c r="GR31" t="e">
        <f>AND('2015'!M133,"AAAAAHU9/sc=")</f>
        <v>#VALUE!</v>
      </c>
      <c r="GS31" t="e">
        <f>AND('2015'!N133,"AAAAAHU9/sg=")</f>
        <v>#VALUE!</v>
      </c>
      <c r="GT31" t="e">
        <f>AND('2015'!O133,"AAAAAHU9/sk=")</f>
        <v>#VALUE!</v>
      </c>
      <c r="GU31" t="e">
        <f>AND('2015'!P133,"AAAAAHU9/so=")</f>
        <v>#VALUE!</v>
      </c>
      <c r="GV31" t="e">
        <f>AND('2015'!Q133,"AAAAAHU9/ss=")</f>
        <v>#VALUE!</v>
      </c>
      <c r="GW31" t="e">
        <f>AND('2015'!R133,"AAAAAHU9/sw=")</f>
        <v>#VALUE!</v>
      </c>
      <c r="GX31" t="e">
        <f>AND('2015'!S133,"AAAAAHU9/s0=")</f>
        <v>#VALUE!</v>
      </c>
      <c r="GY31" t="e">
        <f>AND('2015'!T133,"AAAAAHU9/s4=")</f>
        <v>#VALUE!</v>
      </c>
      <c r="GZ31" t="e">
        <f>AND('2015'!U133,"AAAAAHU9/s8=")</f>
        <v>#VALUE!</v>
      </c>
      <c r="HA31" t="e">
        <f>AND('2015'!V133,"AAAAAHU9/tA=")</f>
        <v>#VALUE!</v>
      </c>
      <c r="HB31" t="e">
        <f>AND('2015'!W133,"AAAAAHU9/tE=")</f>
        <v>#VALUE!</v>
      </c>
      <c r="HC31" t="e">
        <f>AND('2015'!X133,"AAAAAHU9/tI=")</f>
        <v>#VALUE!</v>
      </c>
      <c r="HD31" t="e">
        <f>AND('2015'!Y133,"AAAAAHU9/tM=")</f>
        <v>#VALUE!</v>
      </c>
      <c r="HE31" t="e">
        <f>AND('2015'!Z133,"AAAAAHU9/tQ=")</f>
        <v>#VALUE!</v>
      </c>
      <c r="HF31" t="e">
        <f>AND('2015'!AA133,"AAAAAHU9/tU=")</f>
        <v>#VALUE!</v>
      </c>
      <c r="HG31" t="e">
        <f>AND('2015'!AB133,"AAAAAHU9/tY=")</f>
        <v>#VALUE!</v>
      </c>
      <c r="HH31" t="e">
        <f>AND('2015'!AC133,"AAAAAHU9/tc=")</f>
        <v>#VALUE!</v>
      </c>
      <c r="HI31" t="e">
        <f>AND('2015'!AD133,"AAAAAHU9/tg=")</f>
        <v>#VALUE!</v>
      </c>
      <c r="HJ31" t="e">
        <f>AND('2015'!AE133,"AAAAAHU9/tk=")</f>
        <v>#VALUE!</v>
      </c>
      <c r="HK31" t="e">
        <f>AND('2015'!AF133,"AAAAAHU9/to=")</f>
        <v>#VALUE!</v>
      </c>
      <c r="HL31" t="e">
        <f>AND('2015'!AG133,"AAAAAHU9/ts=")</f>
        <v>#VALUE!</v>
      </c>
      <c r="HM31" t="e">
        <f>AND('2015'!AH133,"AAAAAHU9/tw=")</f>
        <v>#VALUE!</v>
      </c>
      <c r="HN31" t="e">
        <f>AND('2015'!AI133,"AAAAAHU9/t0=")</f>
        <v>#VALUE!</v>
      </c>
      <c r="HO31" t="e">
        <f>AND('2015'!AJ133,"AAAAAHU9/t4=")</f>
        <v>#VALUE!</v>
      </c>
      <c r="HP31" t="e">
        <f>AND('2015'!AK133,"AAAAAHU9/t8=")</f>
        <v>#VALUE!</v>
      </c>
      <c r="HQ31" t="e">
        <f>AND('2015'!AL133,"AAAAAHU9/uA=")</f>
        <v>#VALUE!</v>
      </c>
      <c r="HR31" t="e">
        <f>AND('2015'!AM133,"AAAAAHU9/uE=")</f>
        <v>#VALUE!</v>
      </c>
      <c r="HS31" t="e">
        <f>AND('2015'!AN133,"AAAAAHU9/uI=")</f>
        <v>#VALUE!</v>
      </c>
      <c r="HT31" t="e">
        <f>AND('2015'!AO133,"AAAAAHU9/uM=")</f>
        <v>#VALUE!</v>
      </c>
      <c r="HU31" t="e">
        <f>AND('2015'!AP133,"AAAAAHU9/uQ=")</f>
        <v>#VALUE!</v>
      </c>
      <c r="HV31" t="e">
        <f>AND('2015'!AQ133,"AAAAAHU9/uU=")</f>
        <v>#VALUE!</v>
      </c>
      <c r="HW31" t="e">
        <f>AND('2015'!AR133,"AAAAAHU9/uY=")</f>
        <v>#VALUE!</v>
      </c>
      <c r="HX31" t="e">
        <f>AND('2015'!AS133,"AAAAAHU9/uc=")</f>
        <v>#VALUE!</v>
      </c>
      <c r="HY31" t="e">
        <f>AND('2015'!AT133,"AAAAAHU9/ug=")</f>
        <v>#VALUE!</v>
      </c>
      <c r="HZ31" t="e">
        <f>AND('2015'!#REF!,"AAAAAHU9/uk=")</f>
        <v>#REF!</v>
      </c>
      <c r="IA31" t="e">
        <f>AND('2015'!AU133,"AAAAAHU9/uo=")</f>
        <v>#VALUE!</v>
      </c>
      <c r="IB31" t="e">
        <f>AND('2015'!AV133,"AAAAAHU9/us=")</f>
        <v>#VALUE!</v>
      </c>
      <c r="IC31" t="e">
        <f>AND('2015'!AW133,"AAAAAHU9/uw=")</f>
        <v>#VALUE!</v>
      </c>
      <c r="ID31" t="e">
        <f>AND('2015'!AX133,"AAAAAHU9/u0=")</f>
        <v>#VALUE!</v>
      </c>
      <c r="IE31" t="e">
        <f>AND('2015'!AY133,"AAAAAHU9/u4=")</f>
        <v>#VALUE!</v>
      </c>
      <c r="IF31" t="e">
        <f>AND('2015'!AZ133,"AAAAAHU9/u8=")</f>
        <v>#VALUE!</v>
      </c>
      <c r="IG31" t="e">
        <f>AND('2015'!BA133,"AAAAAHU9/vA=")</f>
        <v>#VALUE!</v>
      </c>
      <c r="IH31" t="e">
        <f>AND('2015'!BB133,"AAAAAHU9/vE=")</f>
        <v>#VALUE!</v>
      </c>
      <c r="II31" t="e">
        <f>AND('2015'!BC133,"AAAAAHU9/vI=")</f>
        <v>#VALUE!</v>
      </c>
      <c r="IJ31" t="e">
        <f>AND('2015'!BD133,"AAAAAHU9/vM=")</f>
        <v>#VALUE!</v>
      </c>
      <c r="IK31" t="e">
        <f>AND('2015'!BE133,"AAAAAHU9/vQ=")</f>
        <v>#VALUE!</v>
      </c>
      <c r="IL31" t="e">
        <f>AND('2015'!BF133,"AAAAAHU9/vU=")</f>
        <v>#VALUE!</v>
      </c>
      <c r="IM31" t="e">
        <f>AND('2015'!BG133,"AAAAAHU9/vY=")</f>
        <v>#VALUE!</v>
      </c>
      <c r="IN31" t="e">
        <f>AND('2015'!BH133,"AAAAAHU9/vc=")</f>
        <v>#VALUE!</v>
      </c>
      <c r="IO31" t="e">
        <f>AND('2015'!BI133,"AAAAAHU9/vg=")</f>
        <v>#VALUE!</v>
      </c>
      <c r="IP31" t="e">
        <f>AND('2015'!#REF!,"AAAAAHU9/vk=")</f>
        <v>#REF!</v>
      </c>
      <c r="IQ31" t="e">
        <f>AND('2015'!BJ133,"AAAAAHU9/vo=")</f>
        <v>#VALUE!</v>
      </c>
      <c r="IR31" t="e">
        <f>AND('2015'!BK133,"AAAAAHU9/vs=")</f>
        <v>#VALUE!</v>
      </c>
      <c r="IS31" t="e">
        <f>AND('2015'!BL133,"AAAAAHU9/vw=")</f>
        <v>#VALUE!</v>
      </c>
      <c r="IT31" t="e">
        <f>AND('2015'!BM133,"AAAAAHU9/v0=")</f>
        <v>#VALUE!</v>
      </c>
      <c r="IU31" t="e">
        <f>AND('2015'!BY133,"AAAAAHU9/v4=")</f>
        <v>#VALUE!</v>
      </c>
      <c r="IV31">
        <f>IF('2015'!134:134,"AAAAAHU9/v8=",0)</f>
        <v>0</v>
      </c>
    </row>
    <row r="32" spans="1:256" x14ac:dyDescent="0.25">
      <c r="A32" t="e">
        <f>AND('2015'!A134,"AAAAAD9e/wA=")</f>
        <v>#VALUE!</v>
      </c>
      <c r="B32" t="e">
        <f>AND('2015'!B134,"AAAAAD9e/wE=")</f>
        <v>#VALUE!</v>
      </c>
      <c r="C32" t="e">
        <f>AND('2015'!C134,"AAAAAD9e/wI=")</f>
        <v>#VALUE!</v>
      </c>
      <c r="D32" t="e">
        <f>AND('2015'!D134,"AAAAAD9e/wM=")</f>
        <v>#VALUE!</v>
      </c>
      <c r="E32" t="e">
        <f>AND('2015'!E134,"AAAAAD9e/wQ=")</f>
        <v>#VALUE!</v>
      </c>
      <c r="F32" t="e">
        <f>AND('2015'!F134,"AAAAAD9e/wU=")</f>
        <v>#VALUE!</v>
      </c>
      <c r="G32" t="e">
        <f>AND('2015'!G134,"AAAAAD9e/wY=")</f>
        <v>#VALUE!</v>
      </c>
      <c r="H32" t="e">
        <f>AND('2015'!H134,"AAAAAD9e/wc=")</f>
        <v>#VALUE!</v>
      </c>
      <c r="I32" t="e">
        <f>AND('2015'!I134,"AAAAAD9e/wg=")</f>
        <v>#VALUE!</v>
      </c>
      <c r="J32" t="e">
        <f>AND('2015'!J134,"AAAAAD9e/wk=")</f>
        <v>#VALUE!</v>
      </c>
      <c r="K32" t="e">
        <f>AND('2015'!K134,"AAAAAD9e/wo=")</f>
        <v>#VALUE!</v>
      </c>
      <c r="L32" t="e">
        <f>AND('2015'!L134,"AAAAAD9e/ws=")</f>
        <v>#VALUE!</v>
      </c>
      <c r="M32" t="e">
        <f>AND('2015'!M134,"AAAAAD9e/ww=")</f>
        <v>#VALUE!</v>
      </c>
      <c r="N32" t="e">
        <f>AND('2015'!N134,"AAAAAD9e/w0=")</f>
        <v>#VALUE!</v>
      </c>
      <c r="O32" t="e">
        <f>AND('2015'!O134,"AAAAAD9e/w4=")</f>
        <v>#VALUE!</v>
      </c>
      <c r="P32" t="e">
        <f>AND('2015'!P134,"AAAAAD9e/w8=")</f>
        <v>#VALUE!</v>
      </c>
      <c r="Q32" t="e">
        <f>AND('2015'!Q134,"AAAAAD9e/xA=")</f>
        <v>#VALUE!</v>
      </c>
      <c r="R32" t="e">
        <f>AND('2015'!R134,"AAAAAD9e/xE=")</f>
        <v>#VALUE!</v>
      </c>
      <c r="S32" t="e">
        <f>AND('2015'!S134,"AAAAAD9e/xI=")</f>
        <v>#VALUE!</v>
      </c>
      <c r="T32" t="e">
        <f>AND('2015'!T134,"AAAAAD9e/xM=")</f>
        <v>#VALUE!</v>
      </c>
      <c r="U32" t="e">
        <f>AND('2015'!U134,"AAAAAD9e/xQ=")</f>
        <v>#VALUE!</v>
      </c>
      <c r="V32" t="e">
        <f>AND('2015'!V134,"AAAAAD9e/xU=")</f>
        <v>#VALUE!</v>
      </c>
      <c r="W32" t="e">
        <f>AND('2015'!W134,"AAAAAD9e/xY=")</f>
        <v>#VALUE!</v>
      </c>
      <c r="X32" t="e">
        <f>AND('2015'!X134,"AAAAAD9e/xc=")</f>
        <v>#VALUE!</v>
      </c>
      <c r="Y32" t="e">
        <f>AND('2015'!Y134,"AAAAAD9e/xg=")</f>
        <v>#VALUE!</v>
      </c>
      <c r="Z32" t="e">
        <f>AND('2015'!Z134,"AAAAAD9e/xk=")</f>
        <v>#VALUE!</v>
      </c>
      <c r="AA32" t="e">
        <f>AND('2015'!AA134,"AAAAAD9e/xo=")</f>
        <v>#VALUE!</v>
      </c>
      <c r="AB32" t="e">
        <f>AND('2015'!AB134,"AAAAAD9e/xs=")</f>
        <v>#VALUE!</v>
      </c>
      <c r="AC32" t="e">
        <f>AND('2015'!AC134,"AAAAAD9e/xw=")</f>
        <v>#VALUE!</v>
      </c>
      <c r="AD32" t="e">
        <f>AND('2015'!AD134,"AAAAAD9e/x0=")</f>
        <v>#VALUE!</v>
      </c>
      <c r="AE32" t="e">
        <f>AND('2015'!AE134,"AAAAAD9e/x4=")</f>
        <v>#VALUE!</v>
      </c>
      <c r="AF32" t="e">
        <f>AND('2015'!AF134,"AAAAAD9e/x8=")</f>
        <v>#VALUE!</v>
      </c>
      <c r="AG32" t="e">
        <f>AND('2015'!AG134,"AAAAAD9e/yA=")</f>
        <v>#VALUE!</v>
      </c>
      <c r="AH32" t="e">
        <f>AND('2015'!AH134,"AAAAAD9e/yE=")</f>
        <v>#VALUE!</v>
      </c>
      <c r="AI32" t="e">
        <f>AND('2015'!AI134,"AAAAAD9e/yI=")</f>
        <v>#VALUE!</v>
      </c>
      <c r="AJ32" t="e">
        <f>AND('2015'!AJ134,"AAAAAD9e/yM=")</f>
        <v>#VALUE!</v>
      </c>
      <c r="AK32" t="e">
        <f>AND('2015'!AK134,"AAAAAD9e/yQ=")</f>
        <v>#VALUE!</v>
      </c>
      <c r="AL32" t="e">
        <f>AND('2015'!AL134,"AAAAAD9e/yU=")</f>
        <v>#VALUE!</v>
      </c>
      <c r="AM32" t="e">
        <f>AND('2015'!AM134,"AAAAAD9e/yY=")</f>
        <v>#VALUE!</v>
      </c>
      <c r="AN32" t="e">
        <f>AND('2015'!AN134,"AAAAAD9e/yc=")</f>
        <v>#VALUE!</v>
      </c>
      <c r="AO32" t="e">
        <f>AND('2015'!AO134,"AAAAAD9e/yg=")</f>
        <v>#VALUE!</v>
      </c>
      <c r="AP32" t="e">
        <f>AND('2015'!AP134,"AAAAAD9e/yk=")</f>
        <v>#VALUE!</v>
      </c>
      <c r="AQ32" t="e">
        <f>AND('2015'!AQ134,"AAAAAD9e/yo=")</f>
        <v>#VALUE!</v>
      </c>
      <c r="AR32" t="e">
        <f>AND('2015'!AR134,"AAAAAD9e/ys=")</f>
        <v>#VALUE!</v>
      </c>
      <c r="AS32" t="e">
        <f>AND('2015'!AS134,"AAAAAD9e/yw=")</f>
        <v>#VALUE!</v>
      </c>
      <c r="AT32" t="e">
        <f>AND('2015'!AT134,"AAAAAD9e/y0=")</f>
        <v>#VALUE!</v>
      </c>
      <c r="AU32" t="e">
        <f>AND('2015'!#REF!,"AAAAAD9e/y4=")</f>
        <v>#REF!</v>
      </c>
      <c r="AV32" t="e">
        <f>AND('2015'!AU134,"AAAAAD9e/y8=")</f>
        <v>#VALUE!</v>
      </c>
      <c r="AW32" t="e">
        <f>AND('2015'!AV134,"AAAAAD9e/zA=")</f>
        <v>#VALUE!</v>
      </c>
      <c r="AX32" t="e">
        <f>AND('2015'!AW134,"AAAAAD9e/zE=")</f>
        <v>#VALUE!</v>
      </c>
      <c r="AY32" t="e">
        <f>AND('2015'!AX134,"AAAAAD9e/zI=")</f>
        <v>#VALUE!</v>
      </c>
      <c r="AZ32" t="e">
        <f>AND('2015'!AY134,"AAAAAD9e/zM=")</f>
        <v>#VALUE!</v>
      </c>
      <c r="BA32" t="e">
        <f>AND('2015'!AZ134,"AAAAAD9e/zQ=")</f>
        <v>#VALUE!</v>
      </c>
      <c r="BB32" t="e">
        <f>AND('2015'!BA134,"AAAAAD9e/zU=")</f>
        <v>#VALUE!</v>
      </c>
      <c r="BC32" t="e">
        <f>AND('2015'!BB134,"AAAAAD9e/zY=")</f>
        <v>#VALUE!</v>
      </c>
      <c r="BD32" t="e">
        <f>AND('2015'!BC134,"AAAAAD9e/zc=")</f>
        <v>#VALUE!</v>
      </c>
      <c r="BE32" t="e">
        <f>AND('2015'!BD134,"AAAAAD9e/zg=")</f>
        <v>#VALUE!</v>
      </c>
      <c r="BF32" t="e">
        <f>AND('2015'!BE134,"AAAAAD9e/zk=")</f>
        <v>#VALUE!</v>
      </c>
      <c r="BG32" t="e">
        <f>AND('2015'!BF134,"AAAAAD9e/zo=")</f>
        <v>#VALUE!</v>
      </c>
      <c r="BH32" t="e">
        <f>AND('2015'!BG134,"AAAAAD9e/zs=")</f>
        <v>#VALUE!</v>
      </c>
      <c r="BI32" t="e">
        <f>AND('2015'!BH134,"AAAAAD9e/zw=")</f>
        <v>#VALUE!</v>
      </c>
      <c r="BJ32" t="e">
        <f>AND('2015'!BI134,"AAAAAD9e/z0=")</f>
        <v>#VALUE!</v>
      </c>
      <c r="BK32" t="e">
        <f>AND('2015'!#REF!,"AAAAAD9e/z4=")</f>
        <v>#REF!</v>
      </c>
      <c r="BL32" t="e">
        <f>AND('2015'!BJ134,"AAAAAD9e/z8=")</f>
        <v>#VALUE!</v>
      </c>
      <c r="BM32" t="e">
        <f>AND('2015'!BK134,"AAAAAD9e/0A=")</f>
        <v>#VALUE!</v>
      </c>
      <c r="BN32" t="e">
        <f>AND('2015'!BL134,"AAAAAD9e/0E=")</f>
        <v>#VALUE!</v>
      </c>
      <c r="BO32" t="e">
        <f>AND('2015'!BM134,"AAAAAD9e/0I=")</f>
        <v>#VALUE!</v>
      </c>
      <c r="BP32" t="e">
        <f>AND('2015'!BY134,"AAAAAD9e/0M=")</f>
        <v>#VALUE!</v>
      </c>
      <c r="BQ32" t="str">
        <f>IF('2015'!135:135,"AAAAAD9e/0Q=",0)</f>
        <v>AAAAAD9e/0Q=</v>
      </c>
      <c r="BR32" t="e">
        <f>AND('2015'!A135,"AAAAAD9e/0U=")</f>
        <v>#VALUE!</v>
      </c>
      <c r="BS32" t="e">
        <f>AND('2015'!B135,"AAAAAD9e/0Y=")</f>
        <v>#VALUE!</v>
      </c>
      <c r="BT32" t="e">
        <f>AND('2015'!C135,"AAAAAD9e/0c=")</f>
        <v>#VALUE!</v>
      </c>
      <c r="BU32" t="e">
        <f>AND('2015'!D135,"AAAAAD9e/0g=")</f>
        <v>#VALUE!</v>
      </c>
      <c r="BV32" t="e">
        <f>AND('2015'!E135,"AAAAAD9e/0k=")</f>
        <v>#VALUE!</v>
      </c>
      <c r="BW32" t="e">
        <f>AND('2015'!F135,"AAAAAD9e/0o=")</f>
        <v>#VALUE!</v>
      </c>
      <c r="BX32" t="e">
        <f>AND('2015'!G135,"AAAAAD9e/0s=")</f>
        <v>#VALUE!</v>
      </c>
      <c r="BY32" t="e">
        <f>AND('2015'!H135,"AAAAAD9e/0w=")</f>
        <v>#VALUE!</v>
      </c>
      <c r="BZ32" t="e">
        <f>AND('2015'!I135,"AAAAAD9e/00=")</f>
        <v>#VALUE!</v>
      </c>
      <c r="CA32" t="e">
        <f>AND('2015'!J135,"AAAAAD9e/04=")</f>
        <v>#VALUE!</v>
      </c>
      <c r="CB32" t="e">
        <f>AND('2015'!K135,"AAAAAD9e/08=")</f>
        <v>#VALUE!</v>
      </c>
      <c r="CC32" t="e">
        <f>AND('2015'!L135,"AAAAAD9e/1A=")</f>
        <v>#VALUE!</v>
      </c>
      <c r="CD32" t="e">
        <f>AND('2015'!M135,"AAAAAD9e/1E=")</f>
        <v>#VALUE!</v>
      </c>
      <c r="CE32" t="e">
        <f>AND('2015'!N135,"AAAAAD9e/1I=")</f>
        <v>#VALUE!</v>
      </c>
      <c r="CF32" t="e">
        <f>AND('2015'!O135,"AAAAAD9e/1M=")</f>
        <v>#VALUE!</v>
      </c>
      <c r="CG32" t="e">
        <f>AND('2015'!P135,"AAAAAD9e/1Q=")</f>
        <v>#VALUE!</v>
      </c>
      <c r="CH32" t="e">
        <f>AND('2015'!Q135,"AAAAAD9e/1U=")</f>
        <v>#VALUE!</v>
      </c>
      <c r="CI32" t="e">
        <f>AND('2015'!R135,"AAAAAD9e/1Y=")</f>
        <v>#VALUE!</v>
      </c>
      <c r="CJ32" t="e">
        <f>AND('2015'!S135,"AAAAAD9e/1c=")</f>
        <v>#VALUE!</v>
      </c>
      <c r="CK32" t="e">
        <f>AND('2015'!T135,"AAAAAD9e/1g=")</f>
        <v>#VALUE!</v>
      </c>
      <c r="CL32" t="e">
        <f>AND('2015'!U135,"AAAAAD9e/1k=")</f>
        <v>#VALUE!</v>
      </c>
      <c r="CM32" t="e">
        <f>AND('2015'!V135,"AAAAAD9e/1o=")</f>
        <v>#VALUE!</v>
      </c>
      <c r="CN32" t="e">
        <f>AND('2015'!W135,"AAAAAD9e/1s=")</f>
        <v>#VALUE!</v>
      </c>
      <c r="CO32" t="e">
        <f>AND('2015'!X135,"AAAAAD9e/1w=")</f>
        <v>#VALUE!</v>
      </c>
      <c r="CP32" t="e">
        <f>AND('2015'!Y135,"AAAAAD9e/10=")</f>
        <v>#VALUE!</v>
      </c>
      <c r="CQ32" t="e">
        <f>AND('2015'!Z135,"AAAAAD9e/14=")</f>
        <v>#VALUE!</v>
      </c>
      <c r="CR32" t="e">
        <f>AND('2015'!AA135,"AAAAAD9e/18=")</f>
        <v>#VALUE!</v>
      </c>
      <c r="CS32" t="e">
        <f>AND('2015'!AB135,"AAAAAD9e/2A=")</f>
        <v>#VALUE!</v>
      </c>
      <c r="CT32" t="e">
        <f>AND('2015'!AC135,"AAAAAD9e/2E=")</f>
        <v>#VALUE!</v>
      </c>
      <c r="CU32" t="e">
        <f>AND('2015'!AD135,"AAAAAD9e/2I=")</f>
        <v>#VALUE!</v>
      </c>
      <c r="CV32" t="e">
        <f>AND('2015'!AE135,"AAAAAD9e/2M=")</f>
        <v>#VALUE!</v>
      </c>
      <c r="CW32" t="e">
        <f>AND('2015'!AF135,"AAAAAD9e/2Q=")</f>
        <v>#VALUE!</v>
      </c>
      <c r="CX32" t="e">
        <f>AND('2015'!AG135,"AAAAAD9e/2U=")</f>
        <v>#VALUE!</v>
      </c>
      <c r="CY32" t="e">
        <f>AND('2015'!AH135,"AAAAAD9e/2Y=")</f>
        <v>#VALUE!</v>
      </c>
      <c r="CZ32" t="e">
        <f>AND('2015'!AI135,"AAAAAD9e/2c=")</f>
        <v>#VALUE!</v>
      </c>
      <c r="DA32" t="e">
        <f>AND('2015'!AJ135,"AAAAAD9e/2g=")</f>
        <v>#VALUE!</v>
      </c>
      <c r="DB32" t="e">
        <f>AND('2015'!AK135,"AAAAAD9e/2k=")</f>
        <v>#VALUE!</v>
      </c>
      <c r="DC32" t="e">
        <f>AND('2015'!AL135,"AAAAAD9e/2o=")</f>
        <v>#VALUE!</v>
      </c>
      <c r="DD32" t="e">
        <f>AND('2015'!AM135,"AAAAAD9e/2s=")</f>
        <v>#VALUE!</v>
      </c>
      <c r="DE32" t="e">
        <f>AND('2015'!AN135,"AAAAAD9e/2w=")</f>
        <v>#VALUE!</v>
      </c>
      <c r="DF32" t="e">
        <f>AND('2015'!AO135,"AAAAAD9e/20=")</f>
        <v>#VALUE!</v>
      </c>
      <c r="DG32" t="e">
        <f>AND('2015'!AP135,"AAAAAD9e/24=")</f>
        <v>#VALUE!</v>
      </c>
      <c r="DH32" t="e">
        <f>AND('2015'!AQ135,"AAAAAD9e/28=")</f>
        <v>#VALUE!</v>
      </c>
      <c r="DI32" t="e">
        <f>AND('2015'!AR135,"AAAAAD9e/3A=")</f>
        <v>#VALUE!</v>
      </c>
      <c r="DJ32" t="e">
        <f>AND('2015'!AS135,"AAAAAD9e/3E=")</f>
        <v>#VALUE!</v>
      </c>
      <c r="DK32" t="e">
        <f>AND('2015'!AT135,"AAAAAD9e/3I=")</f>
        <v>#VALUE!</v>
      </c>
      <c r="DL32" t="e">
        <f>AND('2015'!#REF!,"AAAAAD9e/3M=")</f>
        <v>#REF!</v>
      </c>
      <c r="DM32" t="e">
        <f>AND('2015'!AU135,"AAAAAD9e/3Q=")</f>
        <v>#VALUE!</v>
      </c>
      <c r="DN32" t="e">
        <f>AND('2015'!AV135,"AAAAAD9e/3U=")</f>
        <v>#VALUE!</v>
      </c>
      <c r="DO32" t="e">
        <f>AND('2015'!AW135,"AAAAAD9e/3Y=")</f>
        <v>#VALUE!</v>
      </c>
      <c r="DP32" t="e">
        <f>AND('2015'!AX135,"AAAAAD9e/3c=")</f>
        <v>#VALUE!</v>
      </c>
      <c r="DQ32" t="e">
        <f>AND('2015'!AY135,"AAAAAD9e/3g=")</f>
        <v>#VALUE!</v>
      </c>
      <c r="DR32" t="e">
        <f>AND('2015'!AZ135,"AAAAAD9e/3k=")</f>
        <v>#VALUE!</v>
      </c>
      <c r="DS32" t="e">
        <f>AND('2015'!BA135,"AAAAAD9e/3o=")</f>
        <v>#VALUE!</v>
      </c>
      <c r="DT32" t="e">
        <f>AND('2015'!BB135,"AAAAAD9e/3s=")</f>
        <v>#VALUE!</v>
      </c>
      <c r="DU32" t="e">
        <f>AND('2015'!BC135,"AAAAAD9e/3w=")</f>
        <v>#VALUE!</v>
      </c>
      <c r="DV32" t="e">
        <f>AND('2015'!BD135,"AAAAAD9e/30=")</f>
        <v>#VALUE!</v>
      </c>
      <c r="DW32" t="e">
        <f>AND('2015'!BE135,"AAAAAD9e/34=")</f>
        <v>#VALUE!</v>
      </c>
      <c r="DX32" t="e">
        <f>AND('2015'!BF135,"AAAAAD9e/38=")</f>
        <v>#VALUE!</v>
      </c>
      <c r="DY32" t="e">
        <f>AND('2015'!BG135,"AAAAAD9e/4A=")</f>
        <v>#VALUE!</v>
      </c>
      <c r="DZ32" t="e">
        <f>AND('2015'!BH135,"AAAAAD9e/4E=")</f>
        <v>#VALUE!</v>
      </c>
      <c r="EA32" t="e">
        <f>AND('2015'!BI135,"AAAAAD9e/4I=")</f>
        <v>#VALUE!</v>
      </c>
      <c r="EB32" t="e">
        <f>AND('2015'!#REF!,"AAAAAD9e/4M=")</f>
        <v>#REF!</v>
      </c>
      <c r="EC32" t="e">
        <f>AND('2015'!BJ135,"AAAAAD9e/4Q=")</f>
        <v>#VALUE!</v>
      </c>
      <c r="ED32" t="e">
        <f>AND('2015'!BK135,"AAAAAD9e/4U=")</f>
        <v>#VALUE!</v>
      </c>
      <c r="EE32" t="e">
        <f>AND('2015'!BL135,"AAAAAD9e/4Y=")</f>
        <v>#VALUE!</v>
      </c>
      <c r="EF32" t="e">
        <f>AND('2015'!BM135,"AAAAAD9e/4c=")</f>
        <v>#VALUE!</v>
      </c>
      <c r="EG32" t="e">
        <f>AND('2015'!BY135,"AAAAAD9e/4g=")</f>
        <v>#VALUE!</v>
      </c>
      <c r="EH32">
        <f>IF('2015'!136:136,"AAAAAD9e/4k=",0)</f>
        <v>0</v>
      </c>
      <c r="EI32" t="e">
        <f>AND('2015'!A136,"AAAAAD9e/4o=")</f>
        <v>#VALUE!</v>
      </c>
      <c r="EJ32" t="e">
        <f>AND('2015'!B136,"AAAAAD9e/4s=")</f>
        <v>#VALUE!</v>
      </c>
      <c r="EK32" t="e">
        <f>AND('2015'!C136,"AAAAAD9e/4w=")</f>
        <v>#VALUE!</v>
      </c>
      <c r="EL32" t="e">
        <f>AND('2015'!D136,"AAAAAD9e/40=")</f>
        <v>#VALUE!</v>
      </c>
      <c r="EM32" t="e">
        <f>AND('2015'!E136,"AAAAAD9e/44=")</f>
        <v>#VALUE!</v>
      </c>
      <c r="EN32" t="e">
        <f>AND('2015'!F136,"AAAAAD9e/48=")</f>
        <v>#VALUE!</v>
      </c>
      <c r="EO32" t="e">
        <f>AND('2015'!G136,"AAAAAD9e/5A=")</f>
        <v>#VALUE!</v>
      </c>
      <c r="EP32" t="e">
        <f>AND('2015'!H136,"AAAAAD9e/5E=")</f>
        <v>#VALUE!</v>
      </c>
      <c r="EQ32" t="e">
        <f>AND('2015'!I136,"AAAAAD9e/5I=")</f>
        <v>#VALUE!</v>
      </c>
      <c r="ER32" t="e">
        <f>AND('2015'!J136,"AAAAAD9e/5M=")</f>
        <v>#VALUE!</v>
      </c>
      <c r="ES32" t="e">
        <f>AND('2015'!K136,"AAAAAD9e/5Q=")</f>
        <v>#VALUE!</v>
      </c>
      <c r="ET32" t="e">
        <f>AND('2015'!L136,"AAAAAD9e/5U=")</f>
        <v>#VALUE!</v>
      </c>
      <c r="EU32" t="e">
        <f>AND('2015'!M136,"AAAAAD9e/5Y=")</f>
        <v>#VALUE!</v>
      </c>
      <c r="EV32" t="e">
        <f>AND('2015'!N136,"AAAAAD9e/5c=")</f>
        <v>#VALUE!</v>
      </c>
      <c r="EW32" t="e">
        <f>AND('2015'!O136,"AAAAAD9e/5g=")</f>
        <v>#VALUE!</v>
      </c>
      <c r="EX32" t="e">
        <f>AND('2015'!P136,"AAAAAD9e/5k=")</f>
        <v>#VALUE!</v>
      </c>
      <c r="EY32" t="e">
        <f>AND('2015'!Q136,"AAAAAD9e/5o=")</f>
        <v>#VALUE!</v>
      </c>
      <c r="EZ32" t="e">
        <f>AND('2015'!R136,"AAAAAD9e/5s=")</f>
        <v>#VALUE!</v>
      </c>
      <c r="FA32" t="e">
        <f>AND('2015'!S136,"AAAAAD9e/5w=")</f>
        <v>#VALUE!</v>
      </c>
      <c r="FB32" t="e">
        <f>AND('2015'!T136,"AAAAAD9e/50=")</f>
        <v>#VALUE!</v>
      </c>
      <c r="FC32" t="e">
        <f>AND('2015'!U136,"AAAAAD9e/54=")</f>
        <v>#VALUE!</v>
      </c>
      <c r="FD32" t="e">
        <f>AND('2015'!V136,"AAAAAD9e/58=")</f>
        <v>#VALUE!</v>
      </c>
      <c r="FE32" t="e">
        <f>AND('2015'!W136,"AAAAAD9e/6A=")</f>
        <v>#VALUE!</v>
      </c>
      <c r="FF32" t="e">
        <f>AND('2015'!X136,"AAAAAD9e/6E=")</f>
        <v>#VALUE!</v>
      </c>
      <c r="FG32" t="e">
        <f>AND('2015'!Y136,"AAAAAD9e/6I=")</f>
        <v>#VALUE!</v>
      </c>
      <c r="FH32" t="e">
        <f>AND('2015'!Z136,"AAAAAD9e/6M=")</f>
        <v>#VALUE!</v>
      </c>
      <c r="FI32" t="e">
        <f>AND('2015'!AA136,"AAAAAD9e/6Q=")</f>
        <v>#VALUE!</v>
      </c>
      <c r="FJ32" t="e">
        <f>AND('2015'!AB136,"AAAAAD9e/6U=")</f>
        <v>#VALUE!</v>
      </c>
      <c r="FK32" t="e">
        <f>AND('2015'!AC136,"AAAAAD9e/6Y=")</f>
        <v>#VALUE!</v>
      </c>
      <c r="FL32" t="e">
        <f>AND('2015'!AD136,"AAAAAD9e/6c=")</f>
        <v>#VALUE!</v>
      </c>
      <c r="FM32" t="e">
        <f>AND('2015'!AE136,"AAAAAD9e/6g=")</f>
        <v>#VALUE!</v>
      </c>
      <c r="FN32" t="e">
        <f>AND('2015'!AF136,"AAAAAD9e/6k=")</f>
        <v>#VALUE!</v>
      </c>
      <c r="FO32" t="e">
        <f>AND('2015'!AG136,"AAAAAD9e/6o=")</f>
        <v>#VALUE!</v>
      </c>
      <c r="FP32" t="e">
        <f>AND('2015'!AH136,"AAAAAD9e/6s=")</f>
        <v>#VALUE!</v>
      </c>
      <c r="FQ32" t="e">
        <f>AND('2015'!AI136,"AAAAAD9e/6w=")</f>
        <v>#VALUE!</v>
      </c>
      <c r="FR32" t="e">
        <f>AND('2015'!AJ136,"AAAAAD9e/60=")</f>
        <v>#VALUE!</v>
      </c>
      <c r="FS32" t="e">
        <f>AND('2015'!AK136,"AAAAAD9e/64=")</f>
        <v>#VALUE!</v>
      </c>
      <c r="FT32" t="e">
        <f>AND('2015'!AL136,"AAAAAD9e/68=")</f>
        <v>#VALUE!</v>
      </c>
      <c r="FU32" t="e">
        <f>AND('2015'!AM136,"AAAAAD9e/7A=")</f>
        <v>#VALUE!</v>
      </c>
      <c r="FV32" t="e">
        <f>AND('2015'!AN136,"AAAAAD9e/7E=")</f>
        <v>#VALUE!</v>
      </c>
      <c r="FW32" t="e">
        <f>AND('2015'!AO136,"AAAAAD9e/7I=")</f>
        <v>#VALUE!</v>
      </c>
      <c r="FX32" t="e">
        <f>AND('2015'!AP136,"AAAAAD9e/7M=")</f>
        <v>#VALUE!</v>
      </c>
      <c r="FY32" t="e">
        <f>AND('2015'!AQ136,"AAAAAD9e/7Q=")</f>
        <v>#VALUE!</v>
      </c>
      <c r="FZ32" t="e">
        <f>AND('2015'!AR136,"AAAAAD9e/7U=")</f>
        <v>#VALUE!</v>
      </c>
      <c r="GA32" t="e">
        <f>AND('2015'!AS136,"AAAAAD9e/7Y=")</f>
        <v>#VALUE!</v>
      </c>
      <c r="GB32" t="e">
        <f>AND('2015'!AT136,"AAAAAD9e/7c=")</f>
        <v>#VALUE!</v>
      </c>
      <c r="GC32" t="e">
        <f>AND('2015'!#REF!,"AAAAAD9e/7g=")</f>
        <v>#REF!</v>
      </c>
      <c r="GD32" t="e">
        <f>AND('2015'!AU136,"AAAAAD9e/7k=")</f>
        <v>#VALUE!</v>
      </c>
      <c r="GE32" t="e">
        <f>AND('2015'!AV136,"AAAAAD9e/7o=")</f>
        <v>#VALUE!</v>
      </c>
      <c r="GF32" t="e">
        <f>AND('2015'!AW136,"AAAAAD9e/7s=")</f>
        <v>#VALUE!</v>
      </c>
      <c r="GG32" t="e">
        <f>AND('2015'!AX136,"AAAAAD9e/7w=")</f>
        <v>#VALUE!</v>
      </c>
      <c r="GH32" t="e">
        <f>AND('2015'!AY136,"AAAAAD9e/70=")</f>
        <v>#VALUE!</v>
      </c>
      <c r="GI32" t="e">
        <f>AND('2015'!AZ136,"AAAAAD9e/74=")</f>
        <v>#VALUE!</v>
      </c>
      <c r="GJ32" t="e">
        <f>AND('2015'!BA136,"AAAAAD9e/78=")</f>
        <v>#VALUE!</v>
      </c>
      <c r="GK32" t="e">
        <f>AND('2015'!BB136,"AAAAAD9e/8A=")</f>
        <v>#VALUE!</v>
      </c>
      <c r="GL32" t="e">
        <f>AND('2015'!BC136,"AAAAAD9e/8E=")</f>
        <v>#VALUE!</v>
      </c>
      <c r="GM32" t="e">
        <f>AND('2015'!BD136,"AAAAAD9e/8I=")</f>
        <v>#VALUE!</v>
      </c>
      <c r="GN32" t="e">
        <f>AND('2015'!BE136,"AAAAAD9e/8M=")</f>
        <v>#VALUE!</v>
      </c>
      <c r="GO32" t="e">
        <f>AND('2015'!BF136,"AAAAAD9e/8Q=")</f>
        <v>#VALUE!</v>
      </c>
      <c r="GP32" t="e">
        <f>AND('2015'!BG136,"AAAAAD9e/8U=")</f>
        <v>#VALUE!</v>
      </c>
      <c r="GQ32" t="e">
        <f>AND('2015'!BH136,"AAAAAD9e/8Y=")</f>
        <v>#VALUE!</v>
      </c>
      <c r="GR32" t="e">
        <f>AND('2015'!BI136,"AAAAAD9e/8c=")</f>
        <v>#VALUE!</v>
      </c>
      <c r="GS32" t="e">
        <f>AND('2015'!#REF!,"AAAAAD9e/8g=")</f>
        <v>#REF!</v>
      </c>
      <c r="GT32" t="e">
        <f>AND('2015'!BJ136,"AAAAAD9e/8k=")</f>
        <v>#VALUE!</v>
      </c>
      <c r="GU32" t="e">
        <f>AND('2015'!BK136,"AAAAAD9e/8o=")</f>
        <v>#VALUE!</v>
      </c>
      <c r="GV32" t="e">
        <f>AND('2015'!BL136,"AAAAAD9e/8s=")</f>
        <v>#VALUE!</v>
      </c>
      <c r="GW32" t="e">
        <f>AND('2015'!BM136,"AAAAAD9e/8w=")</f>
        <v>#VALUE!</v>
      </c>
      <c r="GX32" t="e">
        <f>AND('2015'!BY136,"AAAAAD9e/80=")</f>
        <v>#VALUE!</v>
      </c>
      <c r="GY32">
        <f>IF('2015'!137:137,"AAAAAD9e/84=",0)</f>
        <v>0</v>
      </c>
      <c r="GZ32" t="e">
        <f>AND('2015'!A137,"AAAAAD9e/88=")</f>
        <v>#VALUE!</v>
      </c>
      <c r="HA32" t="e">
        <f>AND('2015'!B137,"AAAAAD9e/9A=")</f>
        <v>#VALUE!</v>
      </c>
      <c r="HB32" t="e">
        <f>AND('2015'!C137,"AAAAAD9e/9E=")</f>
        <v>#VALUE!</v>
      </c>
      <c r="HC32" t="e">
        <f>AND('2015'!D137,"AAAAAD9e/9I=")</f>
        <v>#VALUE!</v>
      </c>
      <c r="HD32" t="e">
        <f>AND('2015'!E137,"AAAAAD9e/9M=")</f>
        <v>#VALUE!</v>
      </c>
      <c r="HE32" t="e">
        <f>AND('2015'!F137,"AAAAAD9e/9Q=")</f>
        <v>#VALUE!</v>
      </c>
      <c r="HF32" t="e">
        <f>AND('2015'!G137,"AAAAAD9e/9U=")</f>
        <v>#VALUE!</v>
      </c>
      <c r="HG32" t="e">
        <f>AND('2015'!H137,"AAAAAD9e/9Y=")</f>
        <v>#VALUE!</v>
      </c>
      <c r="HH32" t="e">
        <f>AND('2015'!I137,"AAAAAD9e/9c=")</f>
        <v>#VALUE!</v>
      </c>
      <c r="HI32" t="e">
        <f>AND('2015'!J137,"AAAAAD9e/9g=")</f>
        <v>#VALUE!</v>
      </c>
      <c r="HJ32" t="e">
        <f>AND('2015'!K137,"AAAAAD9e/9k=")</f>
        <v>#VALUE!</v>
      </c>
      <c r="HK32" t="e">
        <f>AND('2015'!L137,"AAAAAD9e/9o=")</f>
        <v>#VALUE!</v>
      </c>
      <c r="HL32" t="e">
        <f>AND('2015'!M137,"AAAAAD9e/9s=")</f>
        <v>#VALUE!</v>
      </c>
      <c r="HM32" t="e">
        <f>AND('2015'!N137,"AAAAAD9e/9w=")</f>
        <v>#VALUE!</v>
      </c>
      <c r="HN32" t="e">
        <f>AND('2015'!O137,"AAAAAD9e/90=")</f>
        <v>#VALUE!</v>
      </c>
      <c r="HO32" t="e">
        <f>AND('2015'!P137,"AAAAAD9e/94=")</f>
        <v>#VALUE!</v>
      </c>
      <c r="HP32" t="e">
        <f>AND('2015'!Q137,"AAAAAD9e/98=")</f>
        <v>#VALUE!</v>
      </c>
      <c r="HQ32" t="e">
        <f>AND('2015'!R137,"AAAAAD9e/+A=")</f>
        <v>#VALUE!</v>
      </c>
      <c r="HR32" t="e">
        <f>AND('2015'!S137,"AAAAAD9e/+E=")</f>
        <v>#VALUE!</v>
      </c>
      <c r="HS32" t="e">
        <f>AND('2015'!T137,"AAAAAD9e/+I=")</f>
        <v>#VALUE!</v>
      </c>
      <c r="HT32" t="e">
        <f>AND('2015'!U137,"AAAAAD9e/+M=")</f>
        <v>#VALUE!</v>
      </c>
      <c r="HU32" t="e">
        <f>AND('2015'!V137,"AAAAAD9e/+Q=")</f>
        <v>#VALUE!</v>
      </c>
      <c r="HV32" t="e">
        <f>AND('2015'!W137,"AAAAAD9e/+U=")</f>
        <v>#VALUE!</v>
      </c>
      <c r="HW32" t="e">
        <f>AND('2015'!X137,"AAAAAD9e/+Y=")</f>
        <v>#VALUE!</v>
      </c>
      <c r="HX32" t="e">
        <f>AND('2015'!Y137,"AAAAAD9e/+c=")</f>
        <v>#VALUE!</v>
      </c>
      <c r="HY32" t="e">
        <f>AND('2015'!Z137,"AAAAAD9e/+g=")</f>
        <v>#VALUE!</v>
      </c>
      <c r="HZ32" t="e">
        <f>AND('2015'!AA137,"AAAAAD9e/+k=")</f>
        <v>#VALUE!</v>
      </c>
      <c r="IA32" t="e">
        <f>AND('2015'!AB137,"AAAAAD9e/+o=")</f>
        <v>#VALUE!</v>
      </c>
      <c r="IB32" t="e">
        <f>AND('2015'!AC137,"AAAAAD9e/+s=")</f>
        <v>#VALUE!</v>
      </c>
      <c r="IC32" t="e">
        <f>AND('2015'!AD137,"AAAAAD9e/+w=")</f>
        <v>#VALUE!</v>
      </c>
      <c r="ID32" t="e">
        <f>AND('2015'!AE137,"AAAAAD9e/+0=")</f>
        <v>#VALUE!</v>
      </c>
      <c r="IE32" t="e">
        <f>AND('2015'!AF137,"AAAAAD9e/+4=")</f>
        <v>#VALUE!</v>
      </c>
      <c r="IF32" t="e">
        <f>AND('2015'!AG137,"AAAAAD9e/+8=")</f>
        <v>#VALUE!</v>
      </c>
      <c r="IG32" t="e">
        <f>AND('2015'!AH137,"AAAAAD9e//A=")</f>
        <v>#VALUE!</v>
      </c>
      <c r="IH32" t="e">
        <f>AND('2015'!AI137,"AAAAAD9e//E=")</f>
        <v>#VALUE!</v>
      </c>
      <c r="II32" t="e">
        <f>AND('2015'!AJ137,"AAAAAD9e//I=")</f>
        <v>#VALUE!</v>
      </c>
      <c r="IJ32" t="e">
        <f>AND('2015'!AK137,"AAAAAD9e//M=")</f>
        <v>#VALUE!</v>
      </c>
      <c r="IK32" t="e">
        <f>AND('2015'!AL137,"AAAAAD9e//Q=")</f>
        <v>#VALUE!</v>
      </c>
      <c r="IL32" t="e">
        <f>AND('2015'!AM137,"AAAAAD9e//U=")</f>
        <v>#VALUE!</v>
      </c>
      <c r="IM32" t="e">
        <f>AND('2015'!AN137,"AAAAAD9e//Y=")</f>
        <v>#VALUE!</v>
      </c>
      <c r="IN32" t="e">
        <f>AND('2015'!AO137,"AAAAAD9e//c=")</f>
        <v>#VALUE!</v>
      </c>
      <c r="IO32" t="e">
        <f>AND('2015'!AP137,"AAAAAD9e//g=")</f>
        <v>#VALUE!</v>
      </c>
      <c r="IP32" t="e">
        <f>AND('2015'!AQ137,"AAAAAD9e//k=")</f>
        <v>#VALUE!</v>
      </c>
      <c r="IQ32" t="e">
        <f>AND('2015'!AR137,"AAAAAD9e//o=")</f>
        <v>#VALUE!</v>
      </c>
      <c r="IR32" t="e">
        <f>AND('2015'!AS137,"AAAAAD9e//s=")</f>
        <v>#VALUE!</v>
      </c>
      <c r="IS32" t="e">
        <f>AND('2015'!AT137,"AAAAAD9e//w=")</f>
        <v>#VALUE!</v>
      </c>
      <c r="IT32" t="e">
        <f>AND('2015'!#REF!,"AAAAAD9e//0=")</f>
        <v>#REF!</v>
      </c>
      <c r="IU32" t="e">
        <f>AND('2015'!AU137,"AAAAAD9e//4=")</f>
        <v>#VALUE!</v>
      </c>
      <c r="IV32" t="e">
        <f>AND('2015'!AV137,"AAAAAD9e//8=")</f>
        <v>#VALUE!</v>
      </c>
    </row>
    <row r="33" spans="1:256" x14ac:dyDescent="0.25">
      <c r="A33" t="e">
        <f>AND('2015'!AW137,"AAAAAHAv+gA=")</f>
        <v>#VALUE!</v>
      </c>
      <c r="B33" t="e">
        <f>AND('2015'!AX137,"AAAAAHAv+gE=")</f>
        <v>#VALUE!</v>
      </c>
      <c r="C33" t="e">
        <f>AND('2015'!AY137,"AAAAAHAv+gI=")</f>
        <v>#VALUE!</v>
      </c>
      <c r="D33" t="e">
        <f>AND('2015'!AZ137,"AAAAAHAv+gM=")</f>
        <v>#VALUE!</v>
      </c>
      <c r="E33" t="e">
        <f>AND('2015'!BA137,"AAAAAHAv+gQ=")</f>
        <v>#VALUE!</v>
      </c>
      <c r="F33" t="e">
        <f>AND('2015'!BB137,"AAAAAHAv+gU=")</f>
        <v>#VALUE!</v>
      </c>
      <c r="G33" t="e">
        <f>AND('2015'!BC137,"AAAAAHAv+gY=")</f>
        <v>#VALUE!</v>
      </c>
      <c r="H33" t="e">
        <f>AND('2015'!BD137,"AAAAAHAv+gc=")</f>
        <v>#VALUE!</v>
      </c>
      <c r="I33" t="e">
        <f>AND('2015'!BE137,"AAAAAHAv+gg=")</f>
        <v>#VALUE!</v>
      </c>
      <c r="J33" t="e">
        <f>AND('2015'!BF137,"AAAAAHAv+gk=")</f>
        <v>#VALUE!</v>
      </c>
      <c r="K33" t="e">
        <f>AND('2015'!BG137,"AAAAAHAv+go=")</f>
        <v>#VALUE!</v>
      </c>
      <c r="L33" t="e">
        <f>AND('2015'!BH137,"AAAAAHAv+gs=")</f>
        <v>#VALUE!</v>
      </c>
      <c r="M33" t="e">
        <f>AND('2015'!BI137,"AAAAAHAv+gw=")</f>
        <v>#VALUE!</v>
      </c>
      <c r="N33" t="e">
        <f>AND('2015'!#REF!,"AAAAAHAv+g0=")</f>
        <v>#REF!</v>
      </c>
      <c r="O33" t="e">
        <f>AND('2015'!BJ137,"AAAAAHAv+g4=")</f>
        <v>#VALUE!</v>
      </c>
      <c r="P33" t="e">
        <f>AND('2015'!BK137,"AAAAAHAv+g8=")</f>
        <v>#VALUE!</v>
      </c>
      <c r="Q33" t="e">
        <f>AND('2015'!BL137,"AAAAAHAv+hA=")</f>
        <v>#VALUE!</v>
      </c>
      <c r="R33" t="e">
        <f>AND('2015'!BM137,"AAAAAHAv+hE=")</f>
        <v>#VALUE!</v>
      </c>
      <c r="S33" t="e">
        <f>AND('2015'!BY137,"AAAAAHAv+hI=")</f>
        <v>#VALUE!</v>
      </c>
      <c r="T33">
        <f>IF('2015'!138:138,"AAAAAHAv+hM=",0)</f>
        <v>0</v>
      </c>
      <c r="U33" t="e">
        <f>AND('2015'!A138,"AAAAAHAv+hQ=")</f>
        <v>#VALUE!</v>
      </c>
      <c r="V33" t="e">
        <f>AND('2015'!B138,"AAAAAHAv+hU=")</f>
        <v>#VALUE!</v>
      </c>
      <c r="W33" t="e">
        <f>AND('2015'!C138,"AAAAAHAv+hY=")</f>
        <v>#VALUE!</v>
      </c>
      <c r="X33" t="e">
        <f>AND('2015'!D138,"AAAAAHAv+hc=")</f>
        <v>#VALUE!</v>
      </c>
      <c r="Y33" t="e">
        <f>AND('2015'!E138,"AAAAAHAv+hg=")</f>
        <v>#VALUE!</v>
      </c>
      <c r="Z33" t="e">
        <f>AND('2015'!F138,"AAAAAHAv+hk=")</f>
        <v>#VALUE!</v>
      </c>
      <c r="AA33" t="e">
        <f>AND('2015'!G138,"AAAAAHAv+ho=")</f>
        <v>#VALUE!</v>
      </c>
      <c r="AB33" t="e">
        <f>AND('2015'!H138,"AAAAAHAv+hs=")</f>
        <v>#VALUE!</v>
      </c>
      <c r="AC33" t="e">
        <f>AND('2015'!I138,"AAAAAHAv+hw=")</f>
        <v>#VALUE!</v>
      </c>
      <c r="AD33" t="e">
        <f>AND('2015'!J138,"AAAAAHAv+h0=")</f>
        <v>#VALUE!</v>
      </c>
      <c r="AE33" t="e">
        <f>AND('2015'!K138,"AAAAAHAv+h4=")</f>
        <v>#VALUE!</v>
      </c>
      <c r="AF33" t="e">
        <f>AND('2015'!L138,"AAAAAHAv+h8=")</f>
        <v>#VALUE!</v>
      </c>
      <c r="AG33" t="e">
        <f>AND('2015'!M138,"AAAAAHAv+iA=")</f>
        <v>#VALUE!</v>
      </c>
      <c r="AH33" t="e">
        <f>AND('2015'!N138,"AAAAAHAv+iE=")</f>
        <v>#VALUE!</v>
      </c>
      <c r="AI33" t="e">
        <f>AND('2015'!O138,"AAAAAHAv+iI=")</f>
        <v>#VALUE!</v>
      </c>
      <c r="AJ33" t="e">
        <f>AND('2015'!P138,"AAAAAHAv+iM=")</f>
        <v>#VALUE!</v>
      </c>
      <c r="AK33" t="e">
        <f>AND('2015'!Q138,"AAAAAHAv+iQ=")</f>
        <v>#VALUE!</v>
      </c>
      <c r="AL33" t="e">
        <f>AND('2015'!R138,"AAAAAHAv+iU=")</f>
        <v>#VALUE!</v>
      </c>
      <c r="AM33" t="e">
        <f>AND('2015'!S138,"AAAAAHAv+iY=")</f>
        <v>#VALUE!</v>
      </c>
      <c r="AN33" t="e">
        <f>AND('2015'!T138,"AAAAAHAv+ic=")</f>
        <v>#VALUE!</v>
      </c>
      <c r="AO33" t="e">
        <f>AND('2015'!U138,"AAAAAHAv+ig=")</f>
        <v>#VALUE!</v>
      </c>
      <c r="AP33" t="e">
        <f>AND('2015'!V138,"AAAAAHAv+ik=")</f>
        <v>#VALUE!</v>
      </c>
      <c r="AQ33" t="e">
        <f>AND('2015'!W138,"AAAAAHAv+io=")</f>
        <v>#VALUE!</v>
      </c>
      <c r="AR33" t="e">
        <f>AND('2015'!X138,"AAAAAHAv+is=")</f>
        <v>#VALUE!</v>
      </c>
      <c r="AS33" t="e">
        <f>AND('2015'!Y138,"AAAAAHAv+iw=")</f>
        <v>#VALUE!</v>
      </c>
      <c r="AT33" t="e">
        <f>AND('2015'!Z138,"AAAAAHAv+i0=")</f>
        <v>#VALUE!</v>
      </c>
      <c r="AU33" t="e">
        <f>AND('2015'!AA138,"AAAAAHAv+i4=")</f>
        <v>#VALUE!</v>
      </c>
      <c r="AV33" t="e">
        <f>AND('2015'!AB138,"AAAAAHAv+i8=")</f>
        <v>#VALUE!</v>
      </c>
      <c r="AW33" t="e">
        <f>AND('2015'!AC138,"AAAAAHAv+jA=")</f>
        <v>#VALUE!</v>
      </c>
      <c r="AX33" t="e">
        <f>AND('2015'!AD138,"AAAAAHAv+jE=")</f>
        <v>#VALUE!</v>
      </c>
      <c r="AY33" t="e">
        <f>AND('2015'!AE138,"AAAAAHAv+jI=")</f>
        <v>#VALUE!</v>
      </c>
      <c r="AZ33" t="e">
        <f>AND('2015'!AF138,"AAAAAHAv+jM=")</f>
        <v>#VALUE!</v>
      </c>
      <c r="BA33" t="e">
        <f>AND('2015'!AG138,"AAAAAHAv+jQ=")</f>
        <v>#VALUE!</v>
      </c>
      <c r="BB33" t="e">
        <f>AND('2015'!AH138,"AAAAAHAv+jU=")</f>
        <v>#VALUE!</v>
      </c>
      <c r="BC33" t="e">
        <f>AND('2015'!AI138,"AAAAAHAv+jY=")</f>
        <v>#VALUE!</v>
      </c>
      <c r="BD33" t="e">
        <f>AND('2015'!AJ138,"AAAAAHAv+jc=")</f>
        <v>#VALUE!</v>
      </c>
      <c r="BE33" t="e">
        <f>AND('2015'!AK138,"AAAAAHAv+jg=")</f>
        <v>#VALUE!</v>
      </c>
      <c r="BF33" t="e">
        <f>AND('2015'!AL138,"AAAAAHAv+jk=")</f>
        <v>#VALUE!</v>
      </c>
      <c r="BG33" t="e">
        <f>AND('2015'!AM138,"AAAAAHAv+jo=")</f>
        <v>#VALUE!</v>
      </c>
      <c r="BH33" t="e">
        <f>AND('2015'!AN138,"AAAAAHAv+js=")</f>
        <v>#VALUE!</v>
      </c>
      <c r="BI33" t="e">
        <f>AND('2015'!AO138,"AAAAAHAv+jw=")</f>
        <v>#VALUE!</v>
      </c>
      <c r="BJ33" t="e">
        <f>AND('2015'!AP138,"AAAAAHAv+j0=")</f>
        <v>#VALUE!</v>
      </c>
      <c r="BK33" t="e">
        <f>AND('2015'!AQ138,"AAAAAHAv+j4=")</f>
        <v>#VALUE!</v>
      </c>
      <c r="BL33" t="e">
        <f>AND('2015'!AR138,"AAAAAHAv+j8=")</f>
        <v>#VALUE!</v>
      </c>
      <c r="BM33" t="e">
        <f>AND('2015'!AS138,"AAAAAHAv+kA=")</f>
        <v>#VALUE!</v>
      </c>
      <c r="BN33" t="e">
        <f>AND('2015'!AT138,"AAAAAHAv+kE=")</f>
        <v>#VALUE!</v>
      </c>
      <c r="BO33" t="e">
        <f>AND('2015'!#REF!,"AAAAAHAv+kI=")</f>
        <v>#REF!</v>
      </c>
      <c r="BP33" t="e">
        <f>AND('2015'!AU138,"AAAAAHAv+kM=")</f>
        <v>#VALUE!</v>
      </c>
      <c r="BQ33" t="e">
        <f>AND('2015'!AV138,"AAAAAHAv+kQ=")</f>
        <v>#VALUE!</v>
      </c>
      <c r="BR33" t="e">
        <f>AND('2015'!AW138,"AAAAAHAv+kU=")</f>
        <v>#VALUE!</v>
      </c>
      <c r="BS33" t="e">
        <f>AND('2015'!AX138,"AAAAAHAv+kY=")</f>
        <v>#VALUE!</v>
      </c>
      <c r="BT33" t="e">
        <f>AND('2015'!AY138,"AAAAAHAv+kc=")</f>
        <v>#VALUE!</v>
      </c>
      <c r="BU33" t="e">
        <f>AND('2015'!AZ138,"AAAAAHAv+kg=")</f>
        <v>#VALUE!</v>
      </c>
      <c r="BV33" t="e">
        <f>AND('2015'!BA138,"AAAAAHAv+kk=")</f>
        <v>#VALUE!</v>
      </c>
      <c r="BW33" t="e">
        <f>AND('2015'!BB138,"AAAAAHAv+ko=")</f>
        <v>#VALUE!</v>
      </c>
      <c r="BX33" t="e">
        <f>AND('2015'!BC138,"AAAAAHAv+ks=")</f>
        <v>#VALUE!</v>
      </c>
      <c r="BY33" t="e">
        <f>AND('2015'!BD138,"AAAAAHAv+kw=")</f>
        <v>#VALUE!</v>
      </c>
      <c r="BZ33" t="e">
        <f>AND('2015'!BE138,"AAAAAHAv+k0=")</f>
        <v>#VALUE!</v>
      </c>
      <c r="CA33" t="e">
        <f>AND('2015'!BF138,"AAAAAHAv+k4=")</f>
        <v>#VALUE!</v>
      </c>
      <c r="CB33" t="e">
        <f>AND('2015'!BG138,"AAAAAHAv+k8=")</f>
        <v>#VALUE!</v>
      </c>
      <c r="CC33" t="e">
        <f>AND('2015'!BH138,"AAAAAHAv+lA=")</f>
        <v>#VALUE!</v>
      </c>
      <c r="CD33" t="e">
        <f>AND('2015'!BI138,"AAAAAHAv+lE=")</f>
        <v>#VALUE!</v>
      </c>
      <c r="CE33" t="e">
        <f>AND('2015'!#REF!,"AAAAAHAv+lI=")</f>
        <v>#REF!</v>
      </c>
      <c r="CF33" t="e">
        <f>AND('2015'!BJ138,"AAAAAHAv+lM=")</f>
        <v>#VALUE!</v>
      </c>
      <c r="CG33" t="e">
        <f>AND('2015'!BK138,"AAAAAHAv+lQ=")</f>
        <v>#VALUE!</v>
      </c>
      <c r="CH33" t="e">
        <f>AND('2015'!BL138,"AAAAAHAv+lU=")</f>
        <v>#VALUE!</v>
      </c>
      <c r="CI33" t="e">
        <f>AND('2015'!BM138,"AAAAAHAv+lY=")</f>
        <v>#VALUE!</v>
      </c>
      <c r="CJ33" t="e">
        <f>AND('2015'!BY138,"AAAAAHAv+lc=")</f>
        <v>#VALUE!</v>
      </c>
      <c r="CK33">
        <f>IF('2015'!139:139,"AAAAAHAv+lg=",0)</f>
        <v>0</v>
      </c>
      <c r="CL33" t="e">
        <f>AND('2015'!A139,"AAAAAHAv+lk=")</f>
        <v>#VALUE!</v>
      </c>
      <c r="CM33" t="e">
        <f>AND('2015'!B139,"AAAAAHAv+lo=")</f>
        <v>#VALUE!</v>
      </c>
      <c r="CN33" t="e">
        <f>AND('2015'!C139,"AAAAAHAv+ls=")</f>
        <v>#VALUE!</v>
      </c>
      <c r="CO33" t="e">
        <f>AND('2015'!D139,"AAAAAHAv+lw=")</f>
        <v>#VALUE!</v>
      </c>
      <c r="CP33" t="e">
        <f>AND('2015'!E139,"AAAAAHAv+l0=")</f>
        <v>#VALUE!</v>
      </c>
      <c r="CQ33" t="e">
        <f>AND('2015'!F139,"AAAAAHAv+l4=")</f>
        <v>#VALUE!</v>
      </c>
      <c r="CR33" t="e">
        <f>AND('2015'!G139,"AAAAAHAv+l8=")</f>
        <v>#VALUE!</v>
      </c>
      <c r="CS33" t="e">
        <f>AND('2015'!H139,"AAAAAHAv+mA=")</f>
        <v>#VALUE!</v>
      </c>
      <c r="CT33" t="e">
        <f>AND('2015'!I139,"AAAAAHAv+mE=")</f>
        <v>#VALUE!</v>
      </c>
      <c r="CU33" t="e">
        <f>AND('2015'!J139,"AAAAAHAv+mI=")</f>
        <v>#VALUE!</v>
      </c>
      <c r="CV33" t="e">
        <f>AND('2015'!K139,"AAAAAHAv+mM=")</f>
        <v>#VALUE!</v>
      </c>
      <c r="CW33" t="e">
        <f>AND('2015'!L139,"AAAAAHAv+mQ=")</f>
        <v>#VALUE!</v>
      </c>
      <c r="CX33" t="e">
        <f>AND('2015'!M139,"AAAAAHAv+mU=")</f>
        <v>#VALUE!</v>
      </c>
      <c r="CY33" t="e">
        <f>AND('2015'!N139,"AAAAAHAv+mY=")</f>
        <v>#VALUE!</v>
      </c>
      <c r="CZ33" t="e">
        <f>AND('2015'!O139,"AAAAAHAv+mc=")</f>
        <v>#VALUE!</v>
      </c>
      <c r="DA33" t="e">
        <f>AND('2015'!P139,"AAAAAHAv+mg=")</f>
        <v>#VALUE!</v>
      </c>
      <c r="DB33" t="e">
        <f>AND('2015'!Q139,"AAAAAHAv+mk=")</f>
        <v>#VALUE!</v>
      </c>
      <c r="DC33" t="e">
        <f>AND('2015'!R139,"AAAAAHAv+mo=")</f>
        <v>#VALUE!</v>
      </c>
      <c r="DD33" t="e">
        <f>AND('2015'!S139,"AAAAAHAv+ms=")</f>
        <v>#VALUE!</v>
      </c>
      <c r="DE33" t="e">
        <f>AND('2015'!T139,"AAAAAHAv+mw=")</f>
        <v>#VALUE!</v>
      </c>
      <c r="DF33" t="e">
        <f>AND('2015'!U139,"AAAAAHAv+m0=")</f>
        <v>#VALUE!</v>
      </c>
      <c r="DG33" t="e">
        <f>AND('2015'!V139,"AAAAAHAv+m4=")</f>
        <v>#VALUE!</v>
      </c>
      <c r="DH33" t="e">
        <f>AND('2015'!W139,"AAAAAHAv+m8=")</f>
        <v>#VALUE!</v>
      </c>
      <c r="DI33" t="e">
        <f>AND('2015'!X139,"AAAAAHAv+nA=")</f>
        <v>#VALUE!</v>
      </c>
      <c r="DJ33" t="e">
        <f>AND('2015'!Y139,"AAAAAHAv+nE=")</f>
        <v>#VALUE!</v>
      </c>
      <c r="DK33" t="e">
        <f>AND('2015'!Z139,"AAAAAHAv+nI=")</f>
        <v>#VALUE!</v>
      </c>
      <c r="DL33" t="e">
        <f>AND('2015'!AA139,"AAAAAHAv+nM=")</f>
        <v>#VALUE!</v>
      </c>
      <c r="DM33" t="e">
        <f>AND('2015'!AB139,"AAAAAHAv+nQ=")</f>
        <v>#VALUE!</v>
      </c>
      <c r="DN33" t="e">
        <f>AND('2015'!AC139,"AAAAAHAv+nU=")</f>
        <v>#VALUE!</v>
      </c>
      <c r="DO33" t="e">
        <f>AND('2015'!AD139,"AAAAAHAv+nY=")</f>
        <v>#VALUE!</v>
      </c>
      <c r="DP33" t="e">
        <f>AND('2015'!AE139,"AAAAAHAv+nc=")</f>
        <v>#VALUE!</v>
      </c>
      <c r="DQ33" t="e">
        <f>AND('2015'!AF139,"AAAAAHAv+ng=")</f>
        <v>#VALUE!</v>
      </c>
      <c r="DR33" t="e">
        <f>AND('2015'!AG139,"AAAAAHAv+nk=")</f>
        <v>#VALUE!</v>
      </c>
      <c r="DS33" t="e">
        <f>AND('2015'!AH139,"AAAAAHAv+no=")</f>
        <v>#VALUE!</v>
      </c>
      <c r="DT33" t="e">
        <f>AND('2015'!AI139,"AAAAAHAv+ns=")</f>
        <v>#VALUE!</v>
      </c>
      <c r="DU33" t="e">
        <f>AND('2015'!AJ139,"AAAAAHAv+nw=")</f>
        <v>#VALUE!</v>
      </c>
      <c r="DV33" t="e">
        <f>AND('2015'!AK139,"AAAAAHAv+n0=")</f>
        <v>#VALUE!</v>
      </c>
      <c r="DW33" t="e">
        <f>AND('2015'!AL139,"AAAAAHAv+n4=")</f>
        <v>#VALUE!</v>
      </c>
      <c r="DX33" t="e">
        <f>AND('2015'!AM139,"AAAAAHAv+n8=")</f>
        <v>#VALUE!</v>
      </c>
      <c r="DY33" t="e">
        <f>AND('2015'!AN139,"AAAAAHAv+oA=")</f>
        <v>#VALUE!</v>
      </c>
      <c r="DZ33" t="e">
        <f>AND('2015'!AO139,"AAAAAHAv+oE=")</f>
        <v>#VALUE!</v>
      </c>
      <c r="EA33" t="e">
        <f>AND('2015'!AP139,"AAAAAHAv+oI=")</f>
        <v>#VALUE!</v>
      </c>
      <c r="EB33" t="e">
        <f>AND('2015'!AQ139,"AAAAAHAv+oM=")</f>
        <v>#VALUE!</v>
      </c>
      <c r="EC33" t="e">
        <f>AND('2015'!AR139,"AAAAAHAv+oQ=")</f>
        <v>#VALUE!</v>
      </c>
      <c r="ED33" t="e">
        <f>AND('2015'!AS139,"AAAAAHAv+oU=")</f>
        <v>#VALUE!</v>
      </c>
      <c r="EE33" t="e">
        <f>AND('2015'!AT139,"AAAAAHAv+oY=")</f>
        <v>#VALUE!</v>
      </c>
      <c r="EF33" t="e">
        <f>AND('2015'!#REF!,"AAAAAHAv+oc=")</f>
        <v>#REF!</v>
      </c>
      <c r="EG33" t="e">
        <f>AND('2015'!AU139,"AAAAAHAv+og=")</f>
        <v>#VALUE!</v>
      </c>
      <c r="EH33" t="e">
        <f>AND('2015'!AV139,"AAAAAHAv+ok=")</f>
        <v>#VALUE!</v>
      </c>
      <c r="EI33" t="e">
        <f>AND('2015'!AW139,"AAAAAHAv+oo=")</f>
        <v>#VALUE!</v>
      </c>
      <c r="EJ33" t="e">
        <f>AND('2015'!AX139,"AAAAAHAv+os=")</f>
        <v>#VALUE!</v>
      </c>
      <c r="EK33" t="e">
        <f>AND('2015'!AY139,"AAAAAHAv+ow=")</f>
        <v>#VALUE!</v>
      </c>
      <c r="EL33" t="e">
        <f>AND('2015'!AZ139,"AAAAAHAv+o0=")</f>
        <v>#VALUE!</v>
      </c>
      <c r="EM33" t="e">
        <f>AND('2015'!BA139,"AAAAAHAv+o4=")</f>
        <v>#VALUE!</v>
      </c>
      <c r="EN33" t="e">
        <f>AND('2015'!BB139,"AAAAAHAv+o8=")</f>
        <v>#VALUE!</v>
      </c>
      <c r="EO33" t="e">
        <f>AND('2015'!BC139,"AAAAAHAv+pA=")</f>
        <v>#VALUE!</v>
      </c>
      <c r="EP33" t="e">
        <f>AND('2015'!BD139,"AAAAAHAv+pE=")</f>
        <v>#VALUE!</v>
      </c>
      <c r="EQ33" t="e">
        <f>AND('2015'!BE139,"AAAAAHAv+pI=")</f>
        <v>#VALUE!</v>
      </c>
      <c r="ER33" t="e">
        <f>AND('2015'!BF139,"AAAAAHAv+pM=")</f>
        <v>#VALUE!</v>
      </c>
      <c r="ES33" t="e">
        <f>AND('2015'!BG139,"AAAAAHAv+pQ=")</f>
        <v>#VALUE!</v>
      </c>
      <c r="ET33" t="e">
        <f>AND('2015'!BH139,"AAAAAHAv+pU=")</f>
        <v>#VALUE!</v>
      </c>
      <c r="EU33" t="e">
        <f>AND('2015'!BI139,"AAAAAHAv+pY=")</f>
        <v>#VALUE!</v>
      </c>
      <c r="EV33" t="e">
        <f>AND('2015'!#REF!,"AAAAAHAv+pc=")</f>
        <v>#REF!</v>
      </c>
      <c r="EW33" t="e">
        <f>AND('2015'!BJ139,"AAAAAHAv+pg=")</f>
        <v>#VALUE!</v>
      </c>
      <c r="EX33" t="e">
        <f>AND('2015'!BK139,"AAAAAHAv+pk=")</f>
        <v>#VALUE!</v>
      </c>
      <c r="EY33" t="e">
        <f>AND('2015'!BL139,"AAAAAHAv+po=")</f>
        <v>#VALUE!</v>
      </c>
      <c r="EZ33" t="e">
        <f>AND('2015'!BM139,"AAAAAHAv+ps=")</f>
        <v>#VALUE!</v>
      </c>
      <c r="FA33" t="e">
        <f>AND('2015'!BY139,"AAAAAHAv+pw=")</f>
        <v>#VALUE!</v>
      </c>
      <c r="FB33">
        <f>IF('2015'!140:140,"AAAAAHAv+p0=",0)</f>
        <v>0</v>
      </c>
      <c r="FC33" t="e">
        <f>AND('2015'!A140,"AAAAAHAv+p4=")</f>
        <v>#VALUE!</v>
      </c>
      <c r="FD33" t="e">
        <f>AND('2015'!B140,"AAAAAHAv+p8=")</f>
        <v>#VALUE!</v>
      </c>
      <c r="FE33" t="e">
        <f>AND('2015'!C140,"AAAAAHAv+qA=")</f>
        <v>#VALUE!</v>
      </c>
      <c r="FF33" t="e">
        <f>AND('2015'!D140,"AAAAAHAv+qE=")</f>
        <v>#VALUE!</v>
      </c>
      <c r="FG33" t="e">
        <f>AND('2015'!E140,"AAAAAHAv+qI=")</f>
        <v>#VALUE!</v>
      </c>
      <c r="FH33" t="e">
        <f>AND('2015'!F140,"AAAAAHAv+qM=")</f>
        <v>#VALUE!</v>
      </c>
      <c r="FI33" t="e">
        <f>AND('2015'!G140,"AAAAAHAv+qQ=")</f>
        <v>#VALUE!</v>
      </c>
      <c r="FJ33" t="e">
        <f>AND('2015'!H140,"AAAAAHAv+qU=")</f>
        <v>#VALUE!</v>
      </c>
      <c r="FK33" t="e">
        <f>AND('2015'!I140,"AAAAAHAv+qY=")</f>
        <v>#VALUE!</v>
      </c>
      <c r="FL33" t="e">
        <f>AND('2015'!J140,"AAAAAHAv+qc=")</f>
        <v>#VALUE!</v>
      </c>
      <c r="FM33" t="e">
        <f>AND('2015'!K140,"AAAAAHAv+qg=")</f>
        <v>#VALUE!</v>
      </c>
      <c r="FN33" t="e">
        <f>AND('2015'!L140,"AAAAAHAv+qk=")</f>
        <v>#VALUE!</v>
      </c>
      <c r="FO33" t="e">
        <f>AND('2015'!M140,"AAAAAHAv+qo=")</f>
        <v>#VALUE!</v>
      </c>
      <c r="FP33" t="e">
        <f>AND('2015'!N140,"AAAAAHAv+qs=")</f>
        <v>#VALUE!</v>
      </c>
      <c r="FQ33" t="e">
        <f>AND('2015'!O140,"AAAAAHAv+qw=")</f>
        <v>#VALUE!</v>
      </c>
      <c r="FR33" t="e">
        <f>AND('2015'!P140,"AAAAAHAv+q0=")</f>
        <v>#VALUE!</v>
      </c>
      <c r="FS33" t="e">
        <f>AND('2015'!Q140,"AAAAAHAv+q4=")</f>
        <v>#VALUE!</v>
      </c>
      <c r="FT33" t="e">
        <f>AND('2015'!R140,"AAAAAHAv+q8=")</f>
        <v>#VALUE!</v>
      </c>
      <c r="FU33" t="e">
        <f>AND('2015'!S140,"AAAAAHAv+rA=")</f>
        <v>#VALUE!</v>
      </c>
      <c r="FV33" t="e">
        <f>AND('2015'!T140,"AAAAAHAv+rE=")</f>
        <v>#VALUE!</v>
      </c>
      <c r="FW33" t="e">
        <f>AND('2015'!U140,"AAAAAHAv+rI=")</f>
        <v>#VALUE!</v>
      </c>
      <c r="FX33" t="e">
        <f>AND('2015'!V140,"AAAAAHAv+rM=")</f>
        <v>#VALUE!</v>
      </c>
      <c r="FY33" t="e">
        <f>AND('2015'!W140,"AAAAAHAv+rQ=")</f>
        <v>#VALUE!</v>
      </c>
      <c r="FZ33" t="e">
        <f>AND('2015'!X140,"AAAAAHAv+rU=")</f>
        <v>#VALUE!</v>
      </c>
      <c r="GA33" t="e">
        <f>AND('2015'!Y140,"AAAAAHAv+rY=")</f>
        <v>#VALUE!</v>
      </c>
      <c r="GB33" t="e">
        <f>AND('2015'!Z140,"AAAAAHAv+rc=")</f>
        <v>#VALUE!</v>
      </c>
      <c r="GC33" t="e">
        <f>AND('2015'!AA140,"AAAAAHAv+rg=")</f>
        <v>#VALUE!</v>
      </c>
      <c r="GD33" t="e">
        <f>AND('2015'!AB140,"AAAAAHAv+rk=")</f>
        <v>#VALUE!</v>
      </c>
      <c r="GE33" t="e">
        <f>AND('2015'!AC140,"AAAAAHAv+ro=")</f>
        <v>#VALUE!</v>
      </c>
      <c r="GF33" t="e">
        <f>AND('2015'!AD140,"AAAAAHAv+rs=")</f>
        <v>#VALUE!</v>
      </c>
      <c r="GG33" t="e">
        <f>AND('2015'!AE140,"AAAAAHAv+rw=")</f>
        <v>#VALUE!</v>
      </c>
      <c r="GH33" t="e">
        <f>AND('2015'!AF140,"AAAAAHAv+r0=")</f>
        <v>#VALUE!</v>
      </c>
      <c r="GI33" t="e">
        <f>AND('2015'!AG140,"AAAAAHAv+r4=")</f>
        <v>#VALUE!</v>
      </c>
      <c r="GJ33" t="e">
        <f>AND('2015'!AH140,"AAAAAHAv+r8=")</f>
        <v>#VALUE!</v>
      </c>
      <c r="GK33" t="e">
        <f>AND('2015'!AI140,"AAAAAHAv+sA=")</f>
        <v>#VALUE!</v>
      </c>
      <c r="GL33" t="e">
        <f>AND('2015'!AJ140,"AAAAAHAv+sE=")</f>
        <v>#VALUE!</v>
      </c>
      <c r="GM33" t="e">
        <f>AND('2015'!AK140,"AAAAAHAv+sI=")</f>
        <v>#VALUE!</v>
      </c>
      <c r="GN33" t="e">
        <f>AND('2015'!AL140,"AAAAAHAv+sM=")</f>
        <v>#VALUE!</v>
      </c>
      <c r="GO33" t="e">
        <f>AND('2015'!AM140,"AAAAAHAv+sQ=")</f>
        <v>#VALUE!</v>
      </c>
      <c r="GP33" t="e">
        <f>AND('2015'!AN140,"AAAAAHAv+sU=")</f>
        <v>#VALUE!</v>
      </c>
      <c r="GQ33" t="e">
        <f>AND('2015'!AO140,"AAAAAHAv+sY=")</f>
        <v>#VALUE!</v>
      </c>
      <c r="GR33" t="e">
        <f>AND('2015'!AP140,"AAAAAHAv+sc=")</f>
        <v>#VALUE!</v>
      </c>
      <c r="GS33" t="e">
        <f>AND('2015'!AQ140,"AAAAAHAv+sg=")</f>
        <v>#VALUE!</v>
      </c>
      <c r="GT33" t="e">
        <f>AND('2015'!AR140,"AAAAAHAv+sk=")</f>
        <v>#VALUE!</v>
      </c>
      <c r="GU33" t="e">
        <f>AND('2015'!AS140,"AAAAAHAv+so=")</f>
        <v>#VALUE!</v>
      </c>
      <c r="GV33" t="e">
        <f>AND('2015'!AT140,"AAAAAHAv+ss=")</f>
        <v>#VALUE!</v>
      </c>
      <c r="GW33" t="e">
        <f>AND('2015'!#REF!,"AAAAAHAv+sw=")</f>
        <v>#REF!</v>
      </c>
      <c r="GX33" t="e">
        <f>AND('2015'!AU140,"AAAAAHAv+s0=")</f>
        <v>#VALUE!</v>
      </c>
      <c r="GY33" t="e">
        <f>AND('2015'!AV140,"AAAAAHAv+s4=")</f>
        <v>#VALUE!</v>
      </c>
      <c r="GZ33" t="e">
        <f>AND('2015'!AW140,"AAAAAHAv+s8=")</f>
        <v>#VALUE!</v>
      </c>
      <c r="HA33" t="e">
        <f>AND('2015'!AX140,"AAAAAHAv+tA=")</f>
        <v>#VALUE!</v>
      </c>
      <c r="HB33" t="e">
        <f>AND('2015'!AY140,"AAAAAHAv+tE=")</f>
        <v>#VALUE!</v>
      </c>
      <c r="HC33" t="e">
        <f>AND('2015'!AZ140,"AAAAAHAv+tI=")</f>
        <v>#VALUE!</v>
      </c>
      <c r="HD33" t="e">
        <f>AND('2015'!BA140,"AAAAAHAv+tM=")</f>
        <v>#VALUE!</v>
      </c>
      <c r="HE33" t="e">
        <f>AND('2015'!BB140,"AAAAAHAv+tQ=")</f>
        <v>#VALUE!</v>
      </c>
      <c r="HF33" t="e">
        <f>AND('2015'!BC140,"AAAAAHAv+tU=")</f>
        <v>#VALUE!</v>
      </c>
      <c r="HG33" t="e">
        <f>AND('2015'!BD140,"AAAAAHAv+tY=")</f>
        <v>#VALUE!</v>
      </c>
      <c r="HH33" t="e">
        <f>AND('2015'!BE140,"AAAAAHAv+tc=")</f>
        <v>#VALUE!</v>
      </c>
      <c r="HI33" t="e">
        <f>AND('2015'!BF140,"AAAAAHAv+tg=")</f>
        <v>#VALUE!</v>
      </c>
      <c r="HJ33" t="e">
        <f>AND('2015'!BG140,"AAAAAHAv+tk=")</f>
        <v>#VALUE!</v>
      </c>
      <c r="HK33" t="e">
        <f>AND('2015'!BH140,"AAAAAHAv+to=")</f>
        <v>#VALUE!</v>
      </c>
      <c r="HL33" t="e">
        <f>AND('2015'!BI140,"AAAAAHAv+ts=")</f>
        <v>#VALUE!</v>
      </c>
      <c r="HM33" t="e">
        <f>AND('2015'!#REF!,"AAAAAHAv+tw=")</f>
        <v>#REF!</v>
      </c>
      <c r="HN33" t="e">
        <f>AND('2015'!BJ140,"AAAAAHAv+t0=")</f>
        <v>#VALUE!</v>
      </c>
      <c r="HO33" t="e">
        <f>AND('2015'!BK140,"AAAAAHAv+t4=")</f>
        <v>#VALUE!</v>
      </c>
      <c r="HP33" t="e">
        <f>AND('2015'!BL140,"AAAAAHAv+t8=")</f>
        <v>#VALUE!</v>
      </c>
      <c r="HQ33" t="e">
        <f>AND('2015'!BM140,"AAAAAHAv+uA=")</f>
        <v>#VALUE!</v>
      </c>
      <c r="HR33" t="e">
        <f>AND('2015'!BY140,"AAAAAHAv+uE=")</f>
        <v>#VALUE!</v>
      </c>
      <c r="HS33">
        <f>IF('2015'!141:141,"AAAAAHAv+uI=",0)</f>
        <v>0</v>
      </c>
      <c r="HT33" t="e">
        <f>AND('2015'!A141,"AAAAAHAv+uM=")</f>
        <v>#VALUE!</v>
      </c>
      <c r="HU33" t="e">
        <f>AND('2015'!B141,"AAAAAHAv+uQ=")</f>
        <v>#VALUE!</v>
      </c>
      <c r="HV33" t="e">
        <f>AND('2015'!C141,"AAAAAHAv+uU=")</f>
        <v>#VALUE!</v>
      </c>
      <c r="HW33" t="e">
        <f>AND('2015'!D141,"AAAAAHAv+uY=")</f>
        <v>#VALUE!</v>
      </c>
      <c r="HX33" t="e">
        <f>AND('2015'!E141,"AAAAAHAv+uc=")</f>
        <v>#VALUE!</v>
      </c>
      <c r="HY33" t="e">
        <f>AND('2015'!F141,"AAAAAHAv+ug=")</f>
        <v>#VALUE!</v>
      </c>
      <c r="HZ33" t="e">
        <f>AND('2015'!G141,"AAAAAHAv+uk=")</f>
        <v>#VALUE!</v>
      </c>
      <c r="IA33" t="e">
        <f>AND('2015'!H141,"AAAAAHAv+uo=")</f>
        <v>#VALUE!</v>
      </c>
      <c r="IB33" t="e">
        <f>AND('2015'!I141,"AAAAAHAv+us=")</f>
        <v>#VALUE!</v>
      </c>
      <c r="IC33" t="e">
        <f>AND('2015'!J141,"AAAAAHAv+uw=")</f>
        <v>#VALUE!</v>
      </c>
      <c r="ID33" t="e">
        <f>AND('2015'!K141,"AAAAAHAv+u0=")</f>
        <v>#VALUE!</v>
      </c>
      <c r="IE33" t="e">
        <f>AND('2015'!L141,"AAAAAHAv+u4=")</f>
        <v>#VALUE!</v>
      </c>
      <c r="IF33" t="e">
        <f>AND('2015'!M141,"AAAAAHAv+u8=")</f>
        <v>#VALUE!</v>
      </c>
      <c r="IG33" t="e">
        <f>AND('2015'!N141,"AAAAAHAv+vA=")</f>
        <v>#VALUE!</v>
      </c>
      <c r="IH33" t="e">
        <f>AND('2015'!O141,"AAAAAHAv+vE=")</f>
        <v>#VALUE!</v>
      </c>
      <c r="II33" t="e">
        <f>AND('2015'!P141,"AAAAAHAv+vI=")</f>
        <v>#VALUE!</v>
      </c>
      <c r="IJ33" t="e">
        <f>AND('2015'!Q141,"AAAAAHAv+vM=")</f>
        <v>#VALUE!</v>
      </c>
      <c r="IK33" t="e">
        <f>AND('2015'!R141,"AAAAAHAv+vQ=")</f>
        <v>#VALUE!</v>
      </c>
      <c r="IL33" t="e">
        <f>AND('2015'!S141,"AAAAAHAv+vU=")</f>
        <v>#VALUE!</v>
      </c>
      <c r="IM33" t="e">
        <f>AND('2015'!T141,"AAAAAHAv+vY=")</f>
        <v>#VALUE!</v>
      </c>
      <c r="IN33" t="e">
        <f>AND('2015'!U141,"AAAAAHAv+vc=")</f>
        <v>#VALUE!</v>
      </c>
      <c r="IO33" t="e">
        <f>AND('2015'!V141,"AAAAAHAv+vg=")</f>
        <v>#VALUE!</v>
      </c>
      <c r="IP33" t="e">
        <f>AND('2015'!W141,"AAAAAHAv+vk=")</f>
        <v>#VALUE!</v>
      </c>
      <c r="IQ33" t="e">
        <f>AND('2015'!X141,"AAAAAHAv+vo=")</f>
        <v>#VALUE!</v>
      </c>
      <c r="IR33" t="e">
        <f>AND('2015'!Y141,"AAAAAHAv+vs=")</f>
        <v>#VALUE!</v>
      </c>
      <c r="IS33" t="e">
        <f>AND('2015'!Z141,"AAAAAHAv+vw=")</f>
        <v>#VALUE!</v>
      </c>
      <c r="IT33" t="e">
        <f>AND('2015'!AA141,"AAAAAHAv+v0=")</f>
        <v>#VALUE!</v>
      </c>
      <c r="IU33" t="e">
        <f>AND('2015'!AB141,"AAAAAHAv+v4=")</f>
        <v>#VALUE!</v>
      </c>
      <c r="IV33" t="e">
        <f>AND('2015'!AC141,"AAAAAHAv+v8=")</f>
        <v>#VALUE!</v>
      </c>
    </row>
    <row r="34" spans="1:256" x14ac:dyDescent="0.25">
      <c r="A34" t="e">
        <f>AND('2015'!AD141,"AAAAAC1//wA=")</f>
        <v>#VALUE!</v>
      </c>
      <c r="B34" t="e">
        <f>AND('2015'!AE141,"AAAAAC1//wE=")</f>
        <v>#VALUE!</v>
      </c>
      <c r="C34" t="e">
        <f>AND('2015'!AF141,"AAAAAC1//wI=")</f>
        <v>#VALUE!</v>
      </c>
      <c r="D34" t="e">
        <f>AND('2015'!AG141,"AAAAAC1//wM=")</f>
        <v>#VALUE!</v>
      </c>
      <c r="E34" t="e">
        <f>AND('2015'!AH141,"AAAAAC1//wQ=")</f>
        <v>#VALUE!</v>
      </c>
      <c r="F34" t="e">
        <f>AND('2015'!AI141,"AAAAAC1//wU=")</f>
        <v>#VALUE!</v>
      </c>
      <c r="G34" t="e">
        <f>AND('2015'!AJ141,"AAAAAC1//wY=")</f>
        <v>#VALUE!</v>
      </c>
      <c r="H34" t="e">
        <f>AND('2015'!AK141,"AAAAAC1//wc=")</f>
        <v>#VALUE!</v>
      </c>
      <c r="I34" t="e">
        <f>AND('2015'!AL141,"AAAAAC1//wg=")</f>
        <v>#VALUE!</v>
      </c>
      <c r="J34" t="e">
        <f>AND('2015'!AM141,"AAAAAC1//wk=")</f>
        <v>#VALUE!</v>
      </c>
      <c r="K34" t="e">
        <f>AND('2015'!AN141,"AAAAAC1//wo=")</f>
        <v>#VALUE!</v>
      </c>
      <c r="L34" t="e">
        <f>AND('2015'!AO141,"AAAAAC1//ws=")</f>
        <v>#VALUE!</v>
      </c>
      <c r="M34" t="e">
        <f>AND('2015'!AP141,"AAAAAC1//ww=")</f>
        <v>#VALUE!</v>
      </c>
      <c r="N34" t="e">
        <f>AND('2015'!AQ141,"AAAAAC1//w0=")</f>
        <v>#VALUE!</v>
      </c>
      <c r="O34" t="e">
        <f>AND('2015'!AR141,"AAAAAC1//w4=")</f>
        <v>#VALUE!</v>
      </c>
      <c r="P34" t="e">
        <f>AND('2015'!AS141,"AAAAAC1//w8=")</f>
        <v>#VALUE!</v>
      </c>
      <c r="Q34" t="e">
        <f>AND('2015'!AT141,"AAAAAC1//xA=")</f>
        <v>#VALUE!</v>
      </c>
      <c r="R34" t="e">
        <f>AND('2015'!#REF!,"AAAAAC1//xE=")</f>
        <v>#REF!</v>
      </c>
      <c r="S34" t="e">
        <f>AND('2015'!AU141,"AAAAAC1//xI=")</f>
        <v>#VALUE!</v>
      </c>
      <c r="T34" t="e">
        <f>AND('2015'!AV141,"AAAAAC1//xM=")</f>
        <v>#VALUE!</v>
      </c>
      <c r="U34" t="e">
        <f>AND('2015'!AW141,"AAAAAC1//xQ=")</f>
        <v>#VALUE!</v>
      </c>
      <c r="V34" t="e">
        <f>AND('2015'!AX141,"AAAAAC1//xU=")</f>
        <v>#VALUE!</v>
      </c>
      <c r="W34" t="e">
        <f>AND('2015'!AY141,"AAAAAC1//xY=")</f>
        <v>#VALUE!</v>
      </c>
      <c r="X34" t="e">
        <f>AND('2015'!AZ141,"AAAAAC1//xc=")</f>
        <v>#VALUE!</v>
      </c>
      <c r="Y34" t="e">
        <f>AND('2015'!BA141,"AAAAAC1//xg=")</f>
        <v>#VALUE!</v>
      </c>
      <c r="Z34" t="e">
        <f>AND('2015'!BB141,"AAAAAC1//xk=")</f>
        <v>#VALUE!</v>
      </c>
      <c r="AA34" t="e">
        <f>AND('2015'!BC141,"AAAAAC1//xo=")</f>
        <v>#VALUE!</v>
      </c>
      <c r="AB34" t="e">
        <f>AND('2015'!BD141,"AAAAAC1//xs=")</f>
        <v>#VALUE!</v>
      </c>
      <c r="AC34" t="e">
        <f>AND('2015'!BE141,"AAAAAC1//xw=")</f>
        <v>#VALUE!</v>
      </c>
      <c r="AD34" t="e">
        <f>AND('2015'!BF141,"AAAAAC1//x0=")</f>
        <v>#VALUE!</v>
      </c>
      <c r="AE34" t="e">
        <f>AND('2015'!BG141,"AAAAAC1//x4=")</f>
        <v>#VALUE!</v>
      </c>
      <c r="AF34" t="e">
        <f>AND('2015'!BH141,"AAAAAC1//x8=")</f>
        <v>#VALUE!</v>
      </c>
      <c r="AG34" t="e">
        <f>AND('2015'!BI141,"AAAAAC1//yA=")</f>
        <v>#VALUE!</v>
      </c>
      <c r="AH34" t="e">
        <f>AND('2015'!#REF!,"AAAAAC1//yE=")</f>
        <v>#REF!</v>
      </c>
      <c r="AI34" t="e">
        <f>AND('2015'!BJ141,"AAAAAC1//yI=")</f>
        <v>#VALUE!</v>
      </c>
      <c r="AJ34" t="e">
        <f>AND('2015'!BK141,"AAAAAC1//yM=")</f>
        <v>#VALUE!</v>
      </c>
      <c r="AK34" t="e">
        <f>AND('2015'!BL141,"AAAAAC1//yQ=")</f>
        <v>#VALUE!</v>
      </c>
      <c r="AL34" t="e">
        <f>AND('2015'!BM141,"AAAAAC1//yU=")</f>
        <v>#VALUE!</v>
      </c>
      <c r="AM34" t="e">
        <f>AND('2015'!BY141,"AAAAAC1//yY=")</f>
        <v>#VALUE!</v>
      </c>
      <c r="AN34" t="str">
        <f>IF('2015'!142:142,"AAAAAC1//yc=",0)</f>
        <v>AAAAAC1//yc=</v>
      </c>
      <c r="AO34" t="e">
        <f>AND('2015'!A142,"AAAAAC1//yg=")</f>
        <v>#VALUE!</v>
      </c>
      <c r="AP34" t="e">
        <f>AND('2015'!B142,"AAAAAC1//yk=")</f>
        <v>#VALUE!</v>
      </c>
      <c r="AQ34" t="e">
        <f>AND('2015'!C142,"AAAAAC1//yo=")</f>
        <v>#VALUE!</v>
      </c>
      <c r="AR34" t="e">
        <f>AND('2015'!D142,"AAAAAC1//ys=")</f>
        <v>#VALUE!</v>
      </c>
      <c r="AS34" t="e">
        <f>AND('2015'!E142,"AAAAAC1//yw=")</f>
        <v>#VALUE!</v>
      </c>
      <c r="AT34" t="e">
        <f>AND('2015'!F142,"AAAAAC1//y0=")</f>
        <v>#VALUE!</v>
      </c>
      <c r="AU34" t="e">
        <f>AND('2015'!G142,"AAAAAC1//y4=")</f>
        <v>#VALUE!</v>
      </c>
      <c r="AV34" t="e">
        <f>AND('2015'!H142,"AAAAAC1//y8=")</f>
        <v>#VALUE!</v>
      </c>
      <c r="AW34" t="e">
        <f>AND('2015'!I142,"AAAAAC1//zA=")</f>
        <v>#VALUE!</v>
      </c>
      <c r="AX34" t="e">
        <f>AND('2015'!J142,"AAAAAC1//zE=")</f>
        <v>#VALUE!</v>
      </c>
      <c r="AY34" t="e">
        <f>AND('2015'!K142,"AAAAAC1//zI=")</f>
        <v>#VALUE!</v>
      </c>
      <c r="AZ34" t="e">
        <f>AND('2015'!L142,"AAAAAC1//zM=")</f>
        <v>#VALUE!</v>
      </c>
      <c r="BA34" t="e">
        <f>AND('2015'!M142,"AAAAAC1//zQ=")</f>
        <v>#VALUE!</v>
      </c>
      <c r="BB34" t="e">
        <f>AND('2015'!N142,"AAAAAC1//zU=")</f>
        <v>#VALUE!</v>
      </c>
      <c r="BC34" t="e">
        <f>AND('2015'!O142,"AAAAAC1//zY=")</f>
        <v>#VALUE!</v>
      </c>
      <c r="BD34" t="e">
        <f>AND('2015'!P142,"AAAAAC1//zc=")</f>
        <v>#VALUE!</v>
      </c>
      <c r="BE34" t="e">
        <f>AND('2015'!Q142,"AAAAAC1//zg=")</f>
        <v>#VALUE!</v>
      </c>
      <c r="BF34" t="e">
        <f>AND('2015'!R142,"AAAAAC1//zk=")</f>
        <v>#VALUE!</v>
      </c>
      <c r="BG34" t="e">
        <f>AND('2015'!S142,"AAAAAC1//zo=")</f>
        <v>#VALUE!</v>
      </c>
      <c r="BH34" t="e">
        <f>AND('2015'!T142,"AAAAAC1//zs=")</f>
        <v>#VALUE!</v>
      </c>
      <c r="BI34" t="e">
        <f>AND('2015'!U142,"AAAAAC1//zw=")</f>
        <v>#VALUE!</v>
      </c>
      <c r="BJ34" t="e">
        <f>AND('2015'!V142,"AAAAAC1//z0=")</f>
        <v>#VALUE!</v>
      </c>
      <c r="BK34" t="e">
        <f>AND('2015'!W142,"AAAAAC1//z4=")</f>
        <v>#VALUE!</v>
      </c>
      <c r="BL34" t="e">
        <f>AND('2015'!X142,"AAAAAC1//z8=")</f>
        <v>#VALUE!</v>
      </c>
      <c r="BM34" t="e">
        <f>AND('2015'!Y142,"AAAAAC1//0A=")</f>
        <v>#VALUE!</v>
      </c>
      <c r="BN34" t="e">
        <f>AND('2015'!Z142,"AAAAAC1//0E=")</f>
        <v>#VALUE!</v>
      </c>
      <c r="BO34" t="e">
        <f>AND('2015'!AA142,"AAAAAC1//0I=")</f>
        <v>#VALUE!</v>
      </c>
      <c r="BP34" t="e">
        <f>AND('2015'!AB142,"AAAAAC1//0M=")</f>
        <v>#VALUE!</v>
      </c>
      <c r="BQ34" t="e">
        <f>AND('2015'!AC142,"AAAAAC1//0Q=")</f>
        <v>#VALUE!</v>
      </c>
      <c r="BR34" t="e">
        <f>AND('2015'!AD142,"AAAAAC1//0U=")</f>
        <v>#VALUE!</v>
      </c>
      <c r="BS34" t="e">
        <f>AND('2015'!AE142,"AAAAAC1//0Y=")</f>
        <v>#VALUE!</v>
      </c>
      <c r="BT34" t="e">
        <f>AND('2015'!AF142,"AAAAAC1//0c=")</f>
        <v>#VALUE!</v>
      </c>
      <c r="BU34" t="e">
        <f>AND('2015'!AG142,"AAAAAC1//0g=")</f>
        <v>#VALUE!</v>
      </c>
      <c r="BV34" t="e">
        <f>AND('2015'!AH142,"AAAAAC1//0k=")</f>
        <v>#VALUE!</v>
      </c>
      <c r="BW34" t="e">
        <f>AND('2015'!AI142,"AAAAAC1//0o=")</f>
        <v>#VALUE!</v>
      </c>
      <c r="BX34" t="e">
        <f>AND('2015'!AJ142,"AAAAAC1//0s=")</f>
        <v>#VALUE!</v>
      </c>
      <c r="BY34" t="e">
        <f>AND('2015'!AK142,"AAAAAC1//0w=")</f>
        <v>#VALUE!</v>
      </c>
      <c r="BZ34" t="e">
        <f>AND('2015'!AL142,"AAAAAC1//00=")</f>
        <v>#VALUE!</v>
      </c>
      <c r="CA34" t="e">
        <f>AND('2015'!AM142,"AAAAAC1//04=")</f>
        <v>#VALUE!</v>
      </c>
      <c r="CB34" t="e">
        <f>AND('2015'!AN142,"AAAAAC1//08=")</f>
        <v>#VALUE!</v>
      </c>
      <c r="CC34" t="e">
        <f>AND('2015'!AO142,"AAAAAC1//1A=")</f>
        <v>#VALUE!</v>
      </c>
      <c r="CD34" t="e">
        <f>AND('2015'!AP142,"AAAAAC1//1E=")</f>
        <v>#VALUE!</v>
      </c>
      <c r="CE34" t="e">
        <f>AND('2015'!AQ142,"AAAAAC1//1I=")</f>
        <v>#VALUE!</v>
      </c>
      <c r="CF34" t="e">
        <f>AND('2015'!AR142,"AAAAAC1//1M=")</f>
        <v>#VALUE!</v>
      </c>
      <c r="CG34" t="e">
        <f>AND('2015'!AS142,"AAAAAC1//1Q=")</f>
        <v>#VALUE!</v>
      </c>
      <c r="CH34" t="e">
        <f>AND('2015'!AT142,"AAAAAC1//1U=")</f>
        <v>#VALUE!</v>
      </c>
      <c r="CI34" t="e">
        <f>AND('2015'!#REF!,"AAAAAC1//1Y=")</f>
        <v>#REF!</v>
      </c>
      <c r="CJ34" t="e">
        <f>AND('2015'!AU142,"AAAAAC1//1c=")</f>
        <v>#VALUE!</v>
      </c>
      <c r="CK34" t="e">
        <f>AND('2015'!AV142,"AAAAAC1//1g=")</f>
        <v>#VALUE!</v>
      </c>
      <c r="CL34" t="e">
        <f>AND('2015'!AW142,"AAAAAC1//1k=")</f>
        <v>#VALUE!</v>
      </c>
      <c r="CM34" t="e">
        <f>AND('2015'!AX142,"AAAAAC1//1o=")</f>
        <v>#VALUE!</v>
      </c>
      <c r="CN34" t="e">
        <f>AND('2015'!AY142,"AAAAAC1//1s=")</f>
        <v>#VALUE!</v>
      </c>
      <c r="CO34" t="e">
        <f>AND('2015'!AZ142,"AAAAAC1//1w=")</f>
        <v>#VALUE!</v>
      </c>
      <c r="CP34" t="e">
        <f>AND('2015'!BA142,"AAAAAC1//10=")</f>
        <v>#VALUE!</v>
      </c>
      <c r="CQ34" t="e">
        <f>AND('2015'!BB142,"AAAAAC1//14=")</f>
        <v>#VALUE!</v>
      </c>
      <c r="CR34" t="e">
        <f>AND('2015'!BC142,"AAAAAC1//18=")</f>
        <v>#VALUE!</v>
      </c>
      <c r="CS34" t="e">
        <f>AND('2015'!BD142,"AAAAAC1//2A=")</f>
        <v>#VALUE!</v>
      </c>
      <c r="CT34" t="e">
        <f>AND('2015'!BE142,"AAAAAC1//2E=")</f>
        <v>#VALUE!</v>
      </c>
      <c r="CU34" t="e">
        <f>AND('2015'!BF142,"AAAAAC1//2I=")</f>
        <v>#VALUE!</v>
      </c>
      <c r="CV34" t="e">
        <f>AND('2015'!BG142,"AAAAAC1//2M=")</f>
        <v>#VALUE!</v>
      </c>
      <c r="CW34" t="e">
        <f>AND('2015'!BH142,"AAAAAC1//2Q=")</f>
        <v>#VALUE!</v>
      </c>
      <c r="CX34" t="e">
        <f>AND('2015'!BI142,"AAAAAC1//2U=")</f>
        <v>#VALUE!</v>
      </c>
      <c r="CY34" t="e">
        <f>AND('2015'!#REF!,"AAAAAC1//2Y=")</f>
        <v>#REF!</v>
      </c>
      <c r="CZ34" t="e">
        <f>AND('2015'!BJ142,"AAAAAC1//2c=")</f>
        <v>#VALUE!</v>
      </c>
      <c r="DA34" t="e">
        <f>AND('2015'!BK142,"AAAAAC1//2g=")</f>
        <v>#VALUE!</v>
      </c>
      <c r="DB34" t="e">
        <f>AND('2015'!BL142,"AAAAAC1//2k=")</f>
        <v>#VALUE!</v>
      </c>
      <c r="DC34" t="e">
        <f>AND('2015'!BM142,"AAAAAC1//2o=")</f>
        <v>#VALUE!</v>
      </c>
      <c r="DD34" t="e">
        <f>AND('2015'!BY142,"AAAAAC1//2s=")</f>
        <v>#VALUE!</v>
      </c>
      <c r="DE34">
        <f>IF('2015'!143:143,"AAAAAC1//2w=",0)</f>
        <v>0</v>
      </c>
      <c r="DF34" t="e">
        <f>AND('2015'!A143,"AAAAAC1//20=")</f>
        <v>#VALUE!</v>
      </c>
      <c r="DG34" t="e">
        <f>AND('2015'!B143,"AAAAAC1//24=")</f>
        <v>#VALUE!</v>
      </c>
      <c r="DH34" t="e">
        <f>AND('2015'!C143,"AAAAAC1//28=")</f>
        <v>#VALUE!</v>
      </c>
      <c r="DI34" t="e">
        <f>AND('2015'!D143,"AAAAAC1//3A=")</f>
        <v>#VALUE!</v>
      </c>
      <c r="DJ34" t="e">
        <f>AND('2015'!E143,"AAAAAC1//3E=")</f>
        <v>#VALUE!</v>
      </c>
      <c r="DK34" t="e">
        <f>AND('2015'!F143,"AAAAAC1//3I=")</f>
        <v>#VALUE!</v>
      </c>
      <c r="DL34" t="e">
        <f>AND('2015'!G143,"AAAAAC1//3M=")</f>
        <v>#VALUE!</v>
      </c>
      <c r="DM34" t="e">
        <f>AND('2015'!H143,"AAAAAC1//3Q=")</f>
        <v>#VALUE!</v>
      </c>
      <c r="DN34" t="e">
        <f>AND('2015'!I143,"AAAAAC1//3U=")</f>
        <v>#VALUE!</v>
      </c>
      <c r="DO34" t="e">
        <f>AND('2015'!J143,"AAAAAC1//3Y=")</f>
        <v>#VALUE!</v>
      </c>
      <c r="DP34" t="e">
        <f>AND('2015'!K143,"AAAAAC1//3c=")</f>
        <v>#VALUE!</v>
      </c>
      <c r="DQ34" t="e">
        <f>AND('2015'!L143,"AAAAAC1//3g=")</f>
        <v>#VALUE!</v>
      </c>
      <c r="DR34" t="e">
        <f>AND('2015'!M143,"AAAAAC1//3k=")</f>
        <v>#VALUE!</v>
      </c>
      <c r="DS34" t="e">
        <f>AND('2015'!N143,"AAAAAC1//3o=")</f>
        <v>#VALUE!</v>
      </c>
      <c r="DT34" t="e">
        <f>AND('2015'!O143,"AAAAAC1//3s=")</f>
        <v>#VALUE!</v>
      </c>
      <c r="DU34" t="e">
        <f>AND('2015'!P143,"AAAAAC1//3w=")</f>
        <v>#VALUE!</v>
      </c>
      <c r="DV34" t="e">
        <f>AND('2015'!Q143,"AAAAAC1//30=")</f>
        <v>#VALUE!</v>
      </c>
      <c r="DW34" t="e">
        <f>AND('2015'!R143,"AAAAAC1//34=")</f>
        <v>#VALUE!</v>
      </c>
      <c r="DX34" t="e">
        <f>AND('2015'!S143,"AAAAAC1//38=")</f>
        <v>#VALUE!</v>
      </c>
      <c r="DY34" t="e">
        <f>AND('2015'!T143,"AAAAAC1//4A=")</f>
        <v>#VALUE!</v>
      </c>
      <c r="DZ34" t="e">
        <f>AND('2015'!U143,"AAAAAC1//4E=")</f>
        <v>#VALUE!</v>
      </c>
      <c r="EA34" t="e">
        <f>AND('2015'!V143,"AAAAAC1//4I=")</f>
        <v>#VALUE!</v>
      </c>
      <c r="EB34" t="e">
        <f>AND('2015'!W143,"AAAAAC1//4M=")</f>
        <v>#VALUE!</v>
      </c>
      <c r="EC34" t="e">
        <f>AND('2015'!X143,"AAAAAC1//4Q=")</f>
        <v>#VALUE!</v>
      </c>
      <c r="ED34" t="e">
        <f>AND('2015'!Y143,"AAAAAC1//4U=")</f>
        <v>#VALUE!</v>
      </c>
      <c r="EE34" t="e">
        <f>AND('2015'!Z143,"AAAAAC1//4Y=")</f>
        <v>#VALUE!</v>
      </c>
      <c r="EF34" t="e">
        <f>AND('2015'!AA143,"AAAAAC1//4c=")</f>
        <v>#VALUE!</v>
      </c>
      <c r="EG34" t="e">
        <f>AND('2015'!AB143,"AAAAAC1//4g=")</f>
        <v>#VALUE!</v>
      </c>
      <c r="EH34" t="e">
        <f>AND('2015'!AC143,"AAAAAC1//4k=")</f>
        <v>#VALUE!</v>
      </c>
      <c r="EI34" t="e">
        <f>AND('2015'!AD143,"AAAAAC1//4o=")</f>
        <v>#VALUE!</v>
      </c>
      <c r="EJ34" t="e">
        <f>AND('2015'!AE143,"AAAAAC1//4s=")</f>
        <v>#VALUE!</v>
      </c>
      <c r="EK34" t="e">
        <f>AND('2015'!AF143,"AAAAAC1//4w=")</f>
        <v>#VALUE!</v>
      </c>
      <c r="EL34" t="e">
        <f>AND('2015'!AG143,"AAAAAC1//40=")</f>
        <v>#VALUE!</v>
      </c>
      <c r="EM34" t="e">
        <f>AND('2015'!AH143,"AAAAAC1//44=")</f>
        <v>#VALUE!</v>
      </c>
      <c r="EN34" t="e">
        <f>AND('2015'!AI143,"AAAAAC1//48=")</f>
        <v>#VALUE!</v>
      </c>
      <c r="EO34" t="e">
        <f>AND('2015'!AJ143,"AAAAAC1//5A=")</f>
        <v>#VALUE!</v>
      </c>
      <c r="EP34" t="e">
        <f>AND('2015'!AK143,"AAAAAC1//5E=")</f>
        <v>#VALUE!</v>
      </c>
      <c r="EQ34" t="e">
        <f>AND('2015'!AL143,"AAAAAC1//5I=")</f>
        <v>#VALUE!</v>
      </c>
      <c r="ER34" t="e">
        <f>AND('2015'!AM143,"AAAAAC1//5M=")</f>
        <v>#VALUE!</v>
      </c>
      <c r="ES34" t="e">
        <f>AND('2015'!AN143,"AAAAAC1//5Q=")</f>
        <v>#VALUE!</v>
      </c>
      <c r="ET34" t="e">
        <f>AND('2015'!AO143,"AAAAAC1//5U=")</f>
        <v>#VALUE!</v>
      </c>
      <c r="EU34" t="e">
        <f>AND('2015'!AP143,"AAAAAC1//5Y=")</f>
        <v>#VALUE!</v>
      </c>
      <c r="EV34" t="e">
        <f>AND('2015'!AQ143,"AAAAAC1//5c=")</f>
        <v>#VALUE!</v>
      </c>
      <c r="EW34" t="e">
        <f>AND('2015'!AR143,"AAAAAC1//5g=")</f>
        <v>#VALUE!</v>
      </c>
      <c r="EX34" t="e">
        <f>AND('2015'!AS143,"AAAAAC1//5k=")</f>
        <v>#VALUE!</v>
      </c>
      <c r="EY34" t="e">
        <f>AND('2015'!AT143,"AAAAAC1//5o=")</f>
        <v>#VALUE!</v>
      </c>
      <c r="EZ34" t="e">
        <f>AND('2015'!#REF!,"AAAAAC1//5s=")</f>
        <v>#REF!</v>
      </c>
      <c r="FA34" t="e">
        <f>AND('2015'!AU143,"AAAAAC1//5w=")</f>
        <v>#VALUE!</v>
      </c>
      <c r="FB34" t="e">
        <f>AND('2015'!AV143,"AAAAAC1//50=")</f>
        <v>#VALUE!</v>
      </c>
      <c r="FC34" t="e">
        <f>AND('2015'!AW143,"AAAAAC1//54=")</f>
        <v>#VALUE!</v>
      </c>
      <c r="FD34" t="e">
        <f>AND('2015'!AX143,"AAAAAC1//58=")</f>
        <v>#VALUE!</v>
      </c>
      <c r="FE34" t="e">
        <f>AND('2015'!AY143,"AAAAAC1//6A=")</f>
        <v>#VALUE!</v>
      </c>
      <c r="FF34" t="e">
        <f>AND('2015'!AZ143,"AAAAAC1//6E=")</f>
        <v>#VALUE!</v>
      </c>
      <c r="FG34" t="e">
        <f>AND('2015'!BA143,"AAAAAC1//6I=")</f>
        <v>#VALUE!</v>
      </c>
      <c r="FH34" t="e">
        <f>AND('2015'!BB143,"AAAAAC1//6M=")</f>
        <v>#VALUE!</v>
      </c>
      <c r="FI34" t="e">
        <f>AND('2015'!BC143,"AAAAAC1//6Q=")</f>
        <v>#VALUE!</v>
      </c>
      <c r="FJ34" t="e">
        <f>AND('2015'!BD143,"AAAAAC1//6U=")</f>
        <v>#VALUE!</v>
      </c>
      <c r="FK34" t="e">
        <f>AND('2015'!BE143,"AAAAAC1//6Y=")</f>
        <v>#VALUE!</v>
      </c>
      <c r="FL34" t="e">
        <f>AND('2015'!BF143,"AAAAAC1//6c=")</f>
        <v>#VALUE!</v>
      </c>
      <c r="FM34" t="e">
        <f>AND('2015'!BG143,"AAAAAC1//6g=")</f>
        <v>#VALUE!</v>
      </c>
      <c r="FN34" t="e">
        <f>AND('2015'!BH143,"AAAAAC1//6k=")</f>
        <v>#VALUE!</v>
      </c>
      <c r="FO34" t="e">
        <f>AND('2015'!BI143,"AAAAAC1//6o=")</f>
        <v>#VALUE!</v>
      </c>
      <c r="FP34" t="e">
        <f>AND('2015'!#REF!,"AAAAAC1//6s=")</f>
        <v>#REF!</v>
      </c>
      <c r="FQ34" t="e">
        <f>AND('2015'!BJ143,"AAAAAC1//6w=")</f>
        <v>#VALUE!</v>
      </c>
      <c r="FR34" t="e">
        <f>AND('2015'!BK143,"AAAAAC1//60=")</f>
        <v>#VALUE!</v>
      </c>
      <c r="FS34" t="e">
        <f>AND('2015'!BL143,"AAAAAC1//64=")</f>
        <v>#VALUE!</v>
      </c>
      <c r="FT34" t="e">
        <f>AND('2015'!BM143,"AAAAAC1//68=")</f>
        <v>#VALUE!</v>
      </c>
      <c r="FU34" t="e">
        <f>AND('2015'!BY143,"AAAAAC1//7A=")</f>
        <v>#VALUE!</v>
      </c>
      <c r="FV34">
        <f>IF('2015'!144:144,"AAAAAC1//7E=",0)</f>
        <v>0</v>
      </c>
      <c r="FW34" t="e">
        <f>AND('2015'!A144,"AAAAAC1//7I=")</f>
        <v>#VALUE!</v>
      </c>
      <c r="FX34" t="e">
        <f>AND('2015'!B144,"AAAAAC1//7M=")</f>
        <v>#VALUE!</v>
      </c>
      <c r="FY34" t="e">
        <f>AND('2015'!C144,"AAAAAC1//7Q=")</f>
        <v>#VALUE!</v>
      </c>
      <c r="FZ34" t="e">
        <f>AND('2015'!D144,"AAAAAC1//7U=")</f>
        <v>#VALUE!</v>
      </c>
      <c r="GA34" t="e">
        <f>AND('2015'!E144,"AAAAAC1//7Y=")</f>
        <v>#VALUE!</v>
      </c>
      <c r="GB34" t="e">
        <f>AND('2015'!F144,"AAAAAC1//7c=")</f>
        <v>#VALUE!</v>
      </c>
      <c r="GC34" t="e">
        <f>AND('2015'!G144,"AAAAAC1//7g=")</f>
        <v>#VALUE!</v>
      </c>
      <c r="GD34" t="e">
        <f>AND('2015'!H144,"AAAAAC1//7k=")</f>
        <v>#VALUE!</v>
      </c>
      <c r="GE34" t="e">
        <f>AND('2015'!I144,"AAAAAC1//7o=")</f>
        <v>#VALUE!</v>
      </c>
      <c r="GF34" t="e">
        <f>AND('2015'!J144,"AAAAAC1//7s=")</f>
        <v>#VALUE!</v>
      </c>
      <c r="GG34" t="e">
        <f>AND('2015'!K144,"AAAAAC1//7w=")</f>
        <v>#VALUE!</v>
      </c>
      <c r="GH34" t="e">
        <f>AND('2015'!L144,"AAAAAC1//70=")</f>
        <v>#VALUE!</v>
      </c>
      <c r="GI34" t="e">
        <f>AND('2015'!M144,"AAAAAC1//74=")</f>
        <v>#VALUE!</v>
      </c>
      <c r="GJ34" t="e">
        <f>AND('2015'!N144,"AAAAAC1//78=")</f>
        <v>#VALUE!</v>
      </c>
      <c r="GK34" t="e">
        <f>AND('2015'!O144,"AAAAAC1//8A=")</f>
        <v>#VALUE!</v>
      </c>
      <c r="GL34" t="e">
        <f>AND('2015'!P144,"AAAAAC1//8E=")</f>
        <v>#VALUE!</v>
      </c>
      <c r="GM34" t="e">
        <f>AND('2015'!Q144,"AAAAAC1//8I=")</f>
        <v>#VALUE!</v>
      </c>
      <c r="GN34" t="e">
        <f>AND('2015'!R144,"AAAAAC1//8M=")</f>
        <v>#VALUE!</v>
      </c>
      <c r="GO34" t="e">
        <f>AND('2015'!S144,"AAAAAC1//8Q=")</f>
        <v>#VALUE!</v>
      </c>
      <c r="GP34" t="e">
        <f>AND('2015'!T144,"AAAAAC1//8U=")</f>
        <v>#VALUE!</v>
      </c>
      <c r="GQ34" t="e">
        <f>AND('2015'!U144,"AAAAAC1//8Y=")</f>
        <v>#VALUE!</v>
      </c>
      <c r="GR34" t="e">
        <f>AND('2015'!V144,"AAAAAC1//8c=")</f>
        <v>#VALUE!</v>
      </c>
      <c r="GS34" t="e">
        <f>AND('2015'!W144,"AAAAAC1//8g=")</f>
        <v>#VALUE!</v>
      </c>
      <c r="GT34" t="e">
        <f>AND('2015'!X144,"AAAAAC1//8k=")</f>
        <v>#VALUE!</v>
      </c>
      <c r="GU34" t="e">
        <f>AND('2015'!Y144,"AAAAAC1//8o=")</f>
        <v>#VALUE!</v>
      </c>
      <c r="GV34" t="e">
        <f>AND('2015'!Z144,"AAAAAC1//8s=")</f>
        <v>#VALUE!</v>
      </c>
      <c r="GW34" t="e">
        <f>AND('2015'!AA144,"AAAAAC1//8w=")</f>
        <v>#VALUE!</v>
      </c>
      <c r="GX34" t="e">
        <f>AND('2015'!AB144,"AAAAAC1//80=")</f>
        <v>#VALUE!</v>
      </c>
      <c r="GY34" t="e">
        <f>AND('2015'!AC144,"AAAAAC1//84=")</f>
        <v>#VALUE!</v>
      </c>
      <c r="GZ34" t="e">
        <f>AND('2015'!AD144,"AAAAAC1//88=")</f>
        <v>#VALUE!</v>
      </c>
      <c r="HA34" t="e">
        <f>AND('2015'!AE144,"AAAAAC1//9A=")</f>
        <v>#VALUE!</v>
      </c>
      <c r="HB34" t="e">
        <f>AND('2015'!AF144,"AAAAAC1//9E=")</f>
        <v>#VALUE!</v>
      </c>
      <c r="HC34" t="e">
        <f>AND('2015'!AG144,"AAAAAC1//9I=")</f>
        <v>#VALUE!</v>
      </c>
      <c r="HD34" t="e">
        <f>AND('2015'!AH144,"AAAAAC1//9M=")</f>
        <v>#VALUE!</v>
      </c>
      <c r="HE34" t="e">
        <f>AND('2015'!AI144,"AAAAAC1//9Q=")</f>
        <v>#VALUE!</v>
      </c>
      <c r="HF34" t="e">
        <f>AND('2015'!AJ144,"AAAAAC1//9U=")</f>
        <v>#VALUE!</v>
      </c>
      <c r="HG34" t="e">
        <f>AND('2015'!AK144,"AAAAAC1//9Y=")</f>
        <v>#VALUE!</v>
      </c>
      <c r="HH34" t="e">
        <f>AND('2015'!AL144,"AAAAAC1//9c=")</f>
        <v>#VALUE!</v>
      </c>
      <c r="HI34" t="e">
        <f>AND('2015'!AM144,"AAAAAC1//9g=")</f>
        <v>#VALUE!</v>
      </c>
      <c r="HJ34" t="e">
        <f>AND('2015'!AN144,"AAAAAC1//9k=")</f>
        <v>#VALUE!</v>
      </c>
      <c r="HK34" t="e">
        <f>AND('2015'!AO144,"AAAAAC1//9o=")</f>
        <v>#VALUE!</v>
      </c>
      <c r="HL34" t="e">
        <f>AND('2015'!AP144,"AAAAAC1//9s=")</f>
        <v>#VALUE!</v>
      </c>
      <c r="HM34" t="e">
        <f>AND('2015'!AQ144,"AAAAAC1//9w=")</f>
        <v>#VALUE!</v>
      </c>
      <c r="HN34" t="e">
        <f>AND('2015'!AR144,"AAAAAC1//90=")</f>
        <v>#VALUE!</v>
      </c>
      <c r="HO34" t="e">
        <f>AND('2015'!AS144,"AAAAAC1//94=")</f>
        <v>#VALUE!</v>
      </c>
      <c r="HP34" t="e">
        <f>AND('2015'!AT144,"AAAAAC1//98=")</f>
        <v>#VALUE!</v>
      </c>
      <c r="HQ34" t="e">
        <f>AND('2015'!#REF!,"AAAAAC1//+A=")</f>
        <v>#REF!</v>
      </c>
      <c r="HR34" t="e">
        <f>AND('2015'!AU144,"AAAAAC1//+E=")</f>
        <v>#VALUE!</v>
      </c>
      <c r="HS34" t="e">
        <f>AND('2015'!AV144,"AAAAAC1//+I=")</f>
        <v>#VALUE!</v>
      </c>
      <c r="HT34" t="e">
        <f>AND('2015'!AW144,"AAAAAC1//+M=")</f>
        <v>#VALUE!</v>
      </c>
      <c r="HU34" t="e">
        <f>AND('2015'!AX144,"AAAAAC1//+Q=")</f>
        <v>#VALUE!</v>
      </c>
      <c r="HV34" t="e">
        <f>AND('2015'!AY144,"AAAAAC1//+U=")</f>
        <v>#VALUE!</v>
      </c>
      <c r="HW34" t="e">
        <f>AND('2015'!AZ144,"AAAAAC1//+Y=")</f>
        <v>#VALUE!</v>
      </c>
      <c r="HX34" t="e">
        <f>AND('2015'!BA144,"AAAAAC1//+c=")</f>
        <v>#VALUE!</v>
      </c>
      <c r="HY34" t="e">
        <f>AND('2015'!BB144,"AAAAAC1//+g=")</f>
        <v>#VALUE!</v>
      </c>
      <c r="HZ34" t="e">
        <f>AND('2015'!BC144,"AAAAAC1//+k=")</f>
        <v>#VALUE!</v>
      </c>
      <c r="IA34" t="e">
        <f>AND('2015'!BD144,"AAAAAC1//+o=")</f>
        <v>#VALUE!</v>
      </c>
      <c r="IB34" t="e">
        <f>AND('2015'!BE144,"AAAAAC1//+s=")</f>
        <v>#VALUE!</v>
      </c>
      <c r="IC34" t="e">
        <f>AND('2015'!BF144,"AAAAAC1//+w=")</f>
        <v>#VALUE!</v>
      </c>
      <c r="ID34" t="e">
        <f>AND('2015'!BG144,"AAAAAC1//+0=")</f>
        <v>#VALUE!</v>
      </c>
      <c r="IE34" t="e">
        <f>AND('2015'!BH144,"AAAAAC1//+4=")</f>
        <v>#VALUE!</v>
      </c>
      <c r="IF34" t="e">
        <f>AND('2015'!BI144,"AAAAAC1//+8=")</f>
        <v>#VALUE!</v>
      </c>
      <c r="IG34" t="e">
        <f>AND('2015'!#REF!,"AAAAAC1///A=")</f>
        <v>#REF!</v>
      </c>
      <c r="IH34" t="e">
        <f>AND('2015'!BJ144,"AAAAAC1///E=")</f>
        <v>#VALUE!</v>
      </c>
      <c r="II34" t="e">
        <f>AND('2015'!BK144,"AAAAAC1///I=")</f>
        <v>#VALUE!</v>
      </c>
      <c r="IJ34" t="e">
        <f>AND('2015'!BL144,"AAAAAC1///M=")</f>
        <v>#VALUE!</v>
      </c>
      <c r="IK34" t="e">
        <f>AND('2015'!BM144,"AAAAAC1///Q=")</f>
        <v>#VALUE!</v>
      </c>
      <c r="IL34" t="e">
        <f>AND('2015'!BY144,"AAAAAC1///U=")</f>
        <v>#VALUE!</v>
      </c>
      <c r="IM34">
        <f>IF('2015'!145:145,"AAAAAC1///Y=",0)</f>
        <v>0</v>
      </c>
      <c r="IN34" t="e">
        <f>AND('2015'!A145,"AAAAAC1///c=")</f>
        <v>#VALUE!</v>
      </c>
      <c r="IO34" t="e">
        <f>AND('2015'!B145,"AAAAAC1///g=")</f>
        <v>#VALUE!</v>
      </c>
      <c r="IP34" t="e">
        <f>AND('2015'!C145,"AAAAAC1///k=")</f>
        <v>#VALUE!</v>
      </c>
      <c r="IQ34" t="e">
        <f>AND('2015'!D145,"AAAAAC1///o=")</f>
        <v>#VALUE!</v>
      </c>
      <c r="IR34" t="e">
        <f>AND('2015'!E145,"AAAAAC1///s=")</f>
        <v>#VALUE!</v>
      </c>
      <c r="IS34" t="e">
        <f>AND('2015'!F145,"AAAAAC1///w=")</f>
        <v>#VALUE!</v>
      </c>
      <c r="IT34" t="e">
        <f>AND('2015'!G145,"AAAAAC1///0=")</f>
        <v>#VALUE!</v>
      </c>
      <c r="IU34" t="e">
        <f>AND('2015'!H145,"AAAAAC1///4=")</f>
        <v>#VALUE!</v>
      </c>
      <c r="IV34" t="e">
        <f>AND('2015'!I145,"AAAAAC1///8=")</f>
        <v>#VALUE!</v>
      </c>
    </row>
    <row r="35" spans="1:256" x14ac:dyDescent="0.25">
      <c r="A35" t="e">
        <f>AND('2015'!J145,"AAAAAH3n7wA=")</f>
        <v>#VALUE!</v>
      </c>
      <c r="B35" t="e">
        <f>AND('2015'!K145,"AAAAAH3n7wE=")</f>
        <v>#VALUE!</v>
      </c>
      <c r="C35" t="e">
        <f>AND('2015'!L145,"AAAAAH3n7wI=")</f>
        <v>#VALUE!</v>
      </c>
      <c r="D35" t="e">
        <f>AND('2015'!M145,"AAAAAH3n7wM=")</f>
        <v>#VALUE!</v>
      </c>
      <c r="E35" t="e">
        <f>AND('2015'!N145,"AAAAAH3n7wQ=")</f>
        <v>#VALUE!</v>
      </c>
      <c r="F35" t="e">
        <f>AND('2015'!O145,"AAAAAH3n7wU=")</f>
        <v>#VALUE!</v>
      </c>
      <c r="G35" t="e">
        <f>AND('2015'!P145,"AAAAAH3n7wY=")</f>
        <v>#VALUE!</v>
      </c>
      <c r="H35" t="e">
        <f>AND('2015'!Q145,"AAAAAH3n7wc=")</f>
        <v>#VALUE!</v>
      </c>
      <c r="I35" t="e">
        <f>AND('2015'!R145,"AAAAAH3n7wg=")</f>
        <v>#VALUE!</v>
      </c>
      <c r="J35" t="e">
        <f>AND('2015'!S145,"AAAAAH3n7wk=")</f>
        <v>#VALUE!</v>
      </c>
      <c r="K35" t="e">
        <f>AND('2015'!T145,"AAAAAH3n7wo=")</f>
        <v>#VALUE!</v>
      </c>
      <c r="L35" t="e">
        <f>AND('2015'!U145,"AAAAAH3n7ws=")</f>
        <v>#VALUE!</v>
      </c>
      <c r="M35" t="e">
        <f>AND('2015'!V145,"AAAAAH3n7ww=")</f>
        <v>#VALUE!</v>
      </c>
      <c r="N35" t="e">
        <f>AND('2015'!W145,"AAAAAH3n7w0=")</f>
        <v>#VALUE!</v>
      </c>
      <c r="O35" t="e">
        <f>AND('2015'!X145,"AAAAAH3n7w4=")</f>
        <v>#VALUE!</v>
      </c>
      <c r="P35" t="e">
        <f>AND('2015'!Y145,"AAAAAH3n7w8=")</f>
        <v>#VALUE!</v>
      </c>
      <c r="Q35" t="e">
        <f>AND('2015'!Z145,"AAAAAH3n7xA=")</f>
        <v>#VALUE!</v>
      </c>
      <c r="R35" t="e">
        <f>AND('2015'!AA145,"AAAAAH3n7xE=")</f>
        <v>#VALUE!</v>
      </c>
      <c r="S35" t="e">
        <f>AND('2015'!AB145,"AAAAAH3n7xI=")</f>
        <v>#VALUE!</v>
      </c>
      <c r="T35" t="e">
        <f>AND('2015'!AC145,"AAAAAH3n7xM=")</f>
        <v>#VALUE!</v>
      </c>
      <c r="U35" t="e">
        <f>AND('2015'!AD145,"AAAAAH3n7xQ=")</f>
        <v>#VALUE!</v>
      </c>
      <c r="V35" t="e">
        <f>AND('2015'!AE145,"AAAAAH3n7xU=")</f>
        <v>#VALUE!</v>
      </c>
      <c r="W35" t="e">
        <f>AND('2015'!AF145,"AAAAAH3n7xY=")</f>
        <v>#VALUE!</v>
      </c>
      <c r="X35" t="e">
        <f>AND('2015'!AG145,"AAAAAH3n7xc=")</f>
        <v>#VALUE!</v>
      </c>
      <c r="Y35" t="e">
        <f>AND('2015'!AH145,"AAAAAH3n7xg=")</f>
        <v>#VALUE!</v>
      </c>
      <c r="Z35" t="e">
        <f>AND('2015'!AI145,"AAAAAH3n7xk=")</f>
        <v>#VALUE!</v>
      </c>
      <c r="AA35" t="e">
        <f>AND('2015'!AJ145,"AAAAAH3n7xo=")</f>
        <v>#VALUE!</v>
      </c>
      <c r="AB35" t="e">
        <f>AND('2015'!AK145,"AAAAAH3n7xs=")</f>
        <v>#VALUE!</v>
      </c>
      <c r="AC35" t="e">
        <f>AND('2015'!AL145,"AAAAAH3n7xw=")</f>
        <v>#VALUE!</v>
      </c>
      <c r="AD35" t="e">
        <f>AND('2015'!AM145,"AAAAAH3n7x0=")</f>
        <v>#VALUE!</v>
      </c>
      <c r="AE35" t="e">
        <f>AND('2015'!AN145,"AAAAAH3n7x4=")</f>
        <v>#VALUE!</v>
      </c>
      <c r="AF35" t="e">
        <f>AND('2015'!AO145,"AAAAAH3n7x8=")</f>
        <v>#VALUE!</v>
      </c>
      <c r="AG35" t="e">
        <f>AND('2015'!AP145,"AAAAAH3n7yA=")</f>
        <v>#VALUE!</v>
      </c>
      <c r="AH35" t="e">
        <f>AND('2015'!AQ145,"AAAAAH3n7yE=")</f>
        <v>#VALUE!</v>
      </c>
      <c r="AI35" t="e">
        <f>AND('2015'!AR145,"AAAAAH3n7yI=")</f>
        <v>#VALUE!</v>
      </c>
      <c r="AJ35" t="e">
        <f>AND('2015'!AS145,"AAAAAH3n7yM=")</f>
        <v>#VALUE!</v>
      </c>
      <c r="AK35" t="e">
        <f>AND('2015'!AT145,"AAAAAH3n7yQ=")</f>
        <v>#VALUE!</v>
      </c>
      <c r="AL35" t="e">
        <f>AND('2015'!#REF!,"AAAAAH3n7yU=")</f>
        <v>#REF!</v>
      </c>
      <c r="AM35" t="e">
        <f>AND('2015'!AU145,"AAAAAH3n7yY=")</f>
        <v>#VALUE!</v>
      </c>
      <c r="AN35" t="e">
        <f>AND('2015'!AV145,"AAAAAH3n7yc=")</f>
        <v>#VALUE!</v>
      </c>
      <c r="AO35" t="e">
        <f>AND('2015'!AW145,"AAAAAH3n7yg=")</f>
        <v>#VALUE!</v>
      </c>
      <c r="AP35" t="e">
        <f>AND('2015'!AX145,"AAAAAH3n7yk=")</f>
        <v>#VALUE!</v>
      </c>
      <c r="AQ35" t="e">
        <f>AND('2015'!AY145,"AAAAAH3n7yo=")</f>
        <v>#VALUE!</v>
      </c>
      <c r="AR35" t="e">
        <f>AND('2015'!AZ145,"AAAAAH3n7ys=")</f>
        <v>#VALUE!</v>
      </c>
      <c r="AS35" t="e">
        <f>AND('2015'!BA145,"AAAAAH3n7yw=")</f>
        <v>#VALUE!</v>
      </c>
      <c r="AT35" t="e">
        <f>AND('2015'!BB145,"AAAAAH3n7y0=")</f>
        <v>#VALUE!</v>
      </c>
      <c r="AU35" t="e">
        <f>AND('2015'!BC145,"AAAAAH3n7y4=")</f>
        <v>#VALUE!</v>
      </c>
      <c r="AV35" t="e">
        <f>AND('2015'!BD145,"AAAAAH3n7y8=")</f>
        <v>#VALUE!</v>
      </c>
      <c r="AW35" t="e">
        <f>AND('2015'!BE145,"AAAAAH3n7zA=")</f>
        <v>#VALUE!</v>
      </c>
      <c r="AX35" t="e">
        <f>AND('2015'!BF145,"AAAAAH3n7zE=")</f>
        <v>#VALUE!</v>
      </c>
      <c r="AY35" t="e">
        <f>AND('2015'!BG145,"AAAAAH3n7zI=")</f>
        <v>#VALUE!</v>
      </c>
      <c r="AZ35" t="e">
        <f>AND('2015'!BH145,"AAAAAH3n7zM=")</f>
        <v>#VALUE!</v>
      </c>
      <c r="BA35" t="e">
        <f>AND('2015'!BI145,"AAAAAH3n7zQ=")</f>
        <v>#VALUE!</v>
      </c>
      <c r="BB35" t="e">
        <f>AND('2015'!#REF!,"AAAAAH3n7zU=")</f>
        <v>#REF!</v>
      </c>
      <c r="BC35" t="e">
        <f>AND('2015'!BJ145,"AAAAAH3n7zY=")</f>
        <v>#VALUE!</v>
      </c>
      <c r="BD35" t="e">
        <f>AND('2015'!BK145,"AAAAAH3n7zc=")</f>
        <v>#VALUE!</v>
      </c>
      <c r="BE35" t="e">
        <f>AND('2015'!BL145,"AAAAAH3n7zg=")</f>
        <v>#VALUE!</v>
      </c>
      <c r="BF35" t="e">
        <f>AND('2015'!BM145,"AAAAAH3n7zk=")</f>
        <v>#VALUE!</v>
      </c>
      <c r="BG35" t="e">
        <f>AND('2015'!BY145,"AAAAAH3n7zo=")</f>
        <v>#VALUE!</v>
      </c>
      <c r="BH35">
        <f>IF('2015'!146:146,"AAAAAH3n7zs=",0)</f>
        <v>0</v>
      </c>
      <c r="BI35" t="e">
        <f>AND('2015'!A146,"AAAAAH3n7zw=")</f>
        <v>#VALUE!</v>
      </c>
      <c r="BJ35" t="e">
        <f>AND('2015'!B146,"AAAAAH3n7z0=")</f>
        <v>#VALUE!</v>
      </c>
      <c r="BK35" t="e">
        <f>AND('2015'!C146,"AAAAAH3n7z4=")</f>
        <v>#VALUE!</v>
      </c>
      <c r="BL35" t="e">
        <f>AND('2015'!D146,"AAAAAH3n7z8=")</f>
        <v>#VALUE!</v>
      </c>
      <c r="BM35" t="e">
        <f>AND('2015'!E146,"AAAAAH3n70A=")</f>
        <v>#VALUE!</v>
      </c>
      <c r="BN35" t="e">
        <f>AND('2015'!F146,"AAAAAH3n70E=")</f>
        <v>#VALUE!</v>
      </c>
      <c r="BO35" t="e">
        <f>AND('2015'!G146,"AAAAAH3n70I=")</f>
        <v>#VALUE!</v>
      </c>
      <c r="BP35" t="e">
        <f>AND('2015'!H146,"AAAAAH3n70M=")</f>
        <v>#VALUE!</v>
      </c>
      <c r="BQ35" t="e">
        <f>AND('2015'!I146,"AAAAAH3n70Q=")</f>
        <v>#VALUE!</v>
      </c>
      <c r="BR35" t="e">
        <f>AND('2015'!J146,"AAAAAH3n70U=")</f>
        <v>#VALUE!</v>
      </c>
      <c r="BS35" t="e">
        <f>AND('2015'!K146,"AAAAAH3n70Y=")</f>
        <v>#VALUE!</v>
      </c>
      <c r="BT35" t="e">
        <f>AND('2015'!L146,"AAAAAH3n70c=")</f>
        <v>#VALUE!</v>
      </c>
      <c r="BU35" t="e">
        <f>AND('2015'!M146,"AAAAAH3n70g=")</f>
        <v>#VALUE!</v>
      </c>
      <c r="BV35" t="e">
        <f>AND('2015'!N146,"AAAAAH3n70k=")</f>
        <v>#VALUE!</v>
      </c>
      <c r="BW35" t="e">
        <f>AND('2015'!O146,"AAAAAH3n70o=")</f>
        <v>#VALUE!</v>
      </c>
      <c r="BX35" t="e">
        <f>AND('2015'!P146,"AAAAAH3n70s=")</f>
        <v>#VALUE!</v>
      </c>
      <c r="BY35" t="e">
        <f>AND('2015'!Q146,"AAAAAH3n70w=")</f>
        <v>#VALUE!</v>
      </c>
      <c r="BZ35" t="e">
        <f>AND('2015'!R146,"AAAAAH3n700=")</f>
        <v>#VALUE!</v>
      </c>
      <c r="CA35" t="e">
        <f>AND('2015'!S146,"AAAAAH3n704=")</f>
        <v>#VALUE!</v>
      </c>
      <c r="CB35" t="e">
        <f>AND('2015'!T146,"AAAAAH3n708=")</f>
        <v>#VALUE!</v>
      </c>
      <c r="CC35" t="e">
        <f>AND('2015'!U146,"AAAAAH3n71A=")</f>
        <v>#VALUE!</v>
      </c>
      <c r="CD35" t="e">
        <f>AND('2015'!V146,"AAAAAH3n71E=")</f>
        <v>#VALUE!</v>
      </c>
      <c r="CE35" t="e">
        <f>AND('2015'!W146,"AAAAAH3n71I=")</f>
        <v>#VALUE!</v>
      </c>
      <c r="CF35" t="e">
        <f>AND('2015'!X146,"AAAAAH3n71M=")</f>
        <v>#VALUE!</v>
      </c>
      <c r="CG35" t="e">
        <f>AND('2015'!Y146,"AAAAAH3n71Q=")</f>
        <v>#VALUE!</v>
      </c>
      <c r="CH35" t="e">
        <f>AND('2015'!Z146,"AAAAAH3n71U=")</f>
        <v>#VALUE!</v>
      </c>
      <c r="CI35" t="e">
        <f>AND('2015'!AA146,"AAAAAH3n71Y=")</f>
        <v>#VALUE!</v>
      </c>
      <c r="CJ35" t="e">
        <f>AND('2015'!AB146,"AAAAAH3n71c=")</f>
        <v>#VALUE!</v>
      </c>
      <c r="CK35" t="e">
        <f>AND('2015'!AC146,"AAAAAH3n71g=")</f>
        <v>#VALUE!</v>
      </c>
      <c r="CL35" t="e">
        <f>AND('2015'!AD146,"AAAAAH3n71k=")</f>
        <v>#VALUE!</v>
      </c>
      <c r="CM35" t="e">
        <f>AND('2015'!AE146,"AAAAAH3n71o=")</f>
        <v>#VALUE!</v>
      </c>
      <c r="CN35" t="e">
        <f>AND('2015'!AF146,"AAAAAH3n71s=")</f>
        <v>#VALUE!</v>
      </c>
      <c r="CO35" t="e">
        <f>AND('2015'!AG146,"AAAAAH3n71w=")</f>
        <v>#VALUE!</v>
      </c>
      <c r="CP35" t="e">
        <f>AND('2015'!AH146,"AAAAAH3n710=")</f>
        <v>#VALUE!</v>
      </c>
      <c r="CQ35" t="e">
        <f>AND('2015'!AI146,"AAAAAH3n714=")</f>
        <v>#VALUE!</v>
      </c>
      <c r="CR35" t="e">
        <f>AND('2015'!AJ146,"AAAAAH3n718=")</f>
        <v>#VALUE!</v>
      </c>
      <c r="CS35" t="e">
        <f>AND('2015'!AK146,"AAAAAH3n72A=")</f>
        <v>#VALUE!</v>
      </c>
      <c r="CT35" t="e">
        <f>AND('2015'!AL146,"AAAAAH3n72E=")</f>
        <v>#VALUE!</v>
      </c>
      <c r="CU35" t="e">
        <f>AND('2015'!AM146,"AAAAAH3n72I=")</f>
        <v>#VALUE!</v>
      </c>
      <c r="CV35" t="e">
        <f>AND('2015'!AN146,"AAAAAH3n72M=")</f>
        <v>#VALUE!</v>
      </c>
      <c r="CW35" t="e">
        <f>AND('2015'!AO146,"AAAAAH3n72Q=")</f>
        <v>#VALUE!</v>
      </c>
      <c r="CX35" t="e">
        <f>AND('2015'!AP146,"AAAAAH3n72U=")</f>
        <v>#VALUE!</v>
      </c>
      <c r="CY35" t="e">
        <f>AND('2015'!AQ146,"AAAAAH3n72Y=")</f>
        <v>#VALUE!</v>
      </c>
      <c r="CZ35" t="e">
        <f>AND('2015'!AR146,"AAAAAH3n72c=")</f>
        <v>#VALUE!</v>
      </c>
      <c r="DA35" t="e">
        <f>AND('2015'!AS146,"AAAAAH3n72g=")</f>
        <v>#VALUE!</v>
      </c>
      <c r="DB35" t="e">
        <f>AND('2015'!AT146,"AAAAAH3n72k=")</f>
        <v>#VALUE!</v>
      </c>
      <c r="DC35" t="e">
        <f>AND('2015'!#REF!,"AAAAAH3n72o=")</f>
        <v>#REF!</v>
      </c>
      <c r="DD35" t="e">
        <f>AND('2015'!AU146,"AAAAAH3n72s=")</f>
        <v>#VALUE!</v>
      </c>
      <c r="DE35" t="e">
        <f>AND('2015'!AV146,"AAAAAH3n72w=")</f>
        <v>#VALUE!</v>
      </c>
      <c r="DF35" t="e">
        <f>AND('2015'!AW146,"AAAAAH3n720=")</f>
        <v>#VALUE!</v>
      </c>
      <c r="DG35" t="e">
        <f>AND('2015'!AX146,"AAAAAH3n724=")</f>
        <v>#VALUE!</v>
      </c>
      <c r="DH35" t="e">
        <f>AND('2015'!AY146,"AAAAAH3n728=")</f>
        <v>#VALUE!</v>
      </c>
      <c r="DI35" t="e">
        <f>AND('2015'!AZ146,"AAAAAH3n73A=")</f>
        <v>#VALUE!</v>
      </c>
      <c r="DJ35" t="e">
        <f>AND('2015'!BA146,"AAAAAH3n73E=")</f>
        <v>#VALUE!</v>
      </c>
      <c r="DK35" t="e">
        <f>AND('2015'!BB146,"AAAAAH3n73I=")</f>
        <v>#VALUE!</v>
      </c>
      <c r="DL35" t="e">
        <f>AND('2015'!BC146,"AAAAAH3n73M=")</f>
        <v>#VALUE!</v>
      </c>
      <c r="DM35" t="e">
        <f>AND('2015'!BD146,"AAAAAH3n73Q=")</f>
        <v>#VALUE!</v>
      </c>
      <c r="DN35" t="e">
        <f>AND('2015'!BE146,"AAAAAH3n73U=")</f>
        <v>#VALUE!</v>
      </c>
      <c r="DO35" t="e">
        <f>AND('2015'!BF146,"AAAAAH3n73Y=")</f>
        <v>#VALUE!</v>
      </c>
      <c r="DP35" t="e">
        <f>AND('2015'!BG146,"AAAAAH3n73c=")</f>
        <v>#VALUE!</v>
      </c>
      <c r="DQ35" t="e">
        <f>AND('2015'!BH146,"AAAAAH3n73g=")</f>
        <v>#VALUE!</v>
      </c>
      <c r="DR35" t="e">
        <f>AND('2015'!BI146,"AAAAAH3n73k=")</f>
        <v>#VALUE!</v>
      </c>
      <c r="DS35" t="e">
        <f>AND('2015'!#REF!,"AAAAAH3n73o=")</f>
        <v>#REF!</v>
      </c>
      <c r="DT35" t="e">
        <f>AND('2015'!BJ146,"AAAAAH3n73s=")</f>
        <v>#VALUE!</v>
      </c>
      <c r="DU35" t="e">
        <f>AND('2015'!BK146,"AAAAAH3n73w=")</f>
        <v>#VALUE!</v>
      </c>
      <c r="DV35" t="e">
        <f>AND('2015'!BL146,"AAAAAH3n730=")</f>
        <v>#VALUE!</v>
      </c>
      <c r="DW35" t="e">
        <f>AND('2015'!BM146,"AAAAAH3n734=")</f>
        <v>#VALUE!</v>
      </c>
      <c r="DX35" t="e">
        <f>AND('2015'!BY146,"AAAAAH3n738=")</f>
        <v>#VALUE!</v>
      </c>
      <c r="DY35">
        <f>IF('2015'!147:147,"AAAAAH3n74A=",0)</f>
        <v>0</v>
      </c>
      <c r="DZ35" t="e">
        <f>AND('2015'!A147,"AAAAAH3n74E=")</f>
        <v>#VALUE!</v>
      </c>
      <c r="EA35" t="e">
        <f>AND('2015'!B147,"AAAAAH3n74I=")</f>
        <v>#VALUE!</v>
      </c>
      <c r="EB35" t="e">
        <f>AND('2015'!C147,"AAAAAH3n74M=")</f>
        <v>#VALUE!</v>
      </c>
      <c r="EC35" t="e">
        <f>AND('2015'!D147,"AAAAAH3n74Q=")</f>
        <v>#VALUE!</v>
      </c>
      <c r="ED35" t="e">
        <f>AND('2015'!E147,"AAAAAH3n74U=")</f>
        <v>#VALUE!</v>
      </c>
      <c r="EE35" t="e">
        <f>AND('2015'!F147,"AAAAAH3n74Y=")</f>
        <v>#VALUE!</v>
      </c>
      <c r="EF35" t="e">
        <f>AND('2015'!G147,"AAAAAH3n74c=")</f>
        <v>#VALUE!</v>
      </c>
      <c r="EG35" t="e">
        <f>AND('2015'!H147,"AAAAAH3n74g=")</f>
        <v>#VALUE!</v>
      </c>
      <c r="EH35" t="e">
        <f>AND('2015'!I147,"AAAAAH3n74k=")</f>
        <v>#VALUE!</v>
      </c>
      <c r="EI35" t="e">
        <f>AND('2015'!J147,"AAAAAH3n74o=")</f>
        <v>#VALUE!</v>
      </c>
      <c r="EJ35" t="e">
        <f>AND('2015'!K147,"AAAAAH3n74s=")</f>
        <v>#VALUE!</v>
      </c>
      <c r="EK35" t="e">
        <f>AND('2015'!L147,"AAAAAH3n74w=")</f>
        <v>#VALUE!</v>
      </c>
      <c r="EL35" t="e">
        <f>AND('2015'!M147,"AAAAAH3n740=")</f>
        <v>#VALUE!</v>
      </c>
      <c r="EM35" t="e">
        <f>AND('2015'!N147,"AAAAAH3n744=")</f>
        <v>#VALUE!</v>
      </c>
      <c r="EN35" t="e">
        <f>AND('2015'!O147,"AAAAAH3n748=")</f>
        <v>#VALUE!</v>
      </c>
      <c r="EO35" t="e">
        <f>AND('2015'!P147,"AAAAAH3n75A=")</f>
        <v>#VALUE!</v>
      </c>
      <c r="EP35" t="e">
        <f>AND('2015'!Q147,"AAAAAH3n75E=")</f>
        <v>#VALUE!</v>
      </c>
      <c r="EQ35" t="e">
        <f>AND('2015'!R147,"AAAAAH3n75I=")</f>
        <v>#VALUE!</v>
      </c>
      <c r="ER35" t="e">
        <f>AND('2015'!S147,"AAAAAH3n75M=")</f>
        <v>#VALUE!</v>
      </c>
      <c r="ES35" t="e">
        <f>AND('2015'!T147,"AAAAAH3n75Q=")</f>
        <v>#VALUE!</v>
      </c>
      <c r="ET35" t="e">
        <f>AND('2015'!U147,"AAAAAH3n75U=")</f>
        <v>#VALUE!</v>
      </c>
      <c r="EU35" t="e">
        <f>AND('2015'!V147,"AAAAAH3n75Y=")</f>
        <v>#VALUE!</v>
      </c>
      <c r="EV35" t="e">
        <f>AND('2015'!W147,"AAAAAH3n75c=")</f>
        <v>#VALUE!</v>
      </c>
      <c r="EW35" t="e">
        <f>AND('2015'!X147,"AAAAAH3n75g=")</f>
        <v>#VALUE!</v>
      </c>
      <c r="EX35" t="e">
        <f>AND('2015'!Y147,"AAAAAH3n75k=")</f>
        <v>#VALUE!</v>
      </c>
      <c r="EY35" t="e">
        <f>AND('2015'!Z147,"AAAAAH3n75o=")</f>
        <v>#VALUE!</v>
      </c>
      <c r="EZ35" t="e">
        <f>AND('2015'!AA147,"AAAAAH3n75s=")</f>
        <v>#VALUE!</v>
      </c>
      <c r="FA35" t="e">
        <f>AND('2015'!AB147,"AAAAAH3n75w=")</f>
        <v>#VALUE!</v>
      </c>
      <c r="FB35" t="e">
        <f>AND('2015'!AC147,"AAAAAH3n750=")</f>
        <v>#VALUE!</v>
      </c>
      <c r="FC35" t="e">
        <f>AND('2015'!AD147,"AAAAAH3n754=")</f>
        <v>#VALUE!</v>
      </c>
      <c r="FD35" t="e">
        <f>AND('2015'!AE147,"AAAAAH3n758=")</f>
        <v>#VALUE!</v>
      </c>
      <c r="FE35" t="e">
        <f>AND('2015'!AF147,"AAAAAH3n76A=")</f>
        <v>#VALUE!</v>
      </c>
      <c r="FF35" t="e">
        <f>AND('2015'!AG147,"AAAAAH3n76E=")</f>
        <v>#VALUE!</v>
      </c>
      <c r="FG35" t="e">
        <f>AND('2015'!AH147,"AAAAAH3n76I=")</f>
        <v>#VALUE!</v>
      </c>
      <c r="FH35" t="e">
        <f>AND('2015'!AI147,"AAAAAH3n76M=")</f>
        <v>#VALUE!</v>
      </c>
      <c r="FI35" t="e">
        <f>AND('2015'!AJ147,"AAAAAH3n76Q=")</f>
        <v>#VALUE!</v>
      </c>
      <c r="FJ35" t="e">
        <f>AND('2015'!AK147,"AAAAAH3n76U=")</f>
        <v>#VALUE!</v>
      </c>
      <c r="FK35" t="e">
        <f>AND('2015'!AL147,"AAAAAH3n76Y=")</f>
        <v>#VALUE!</v>
      </c>
      <c r="FL35" t="e">
        <f>AND('2015'!AM147,"AAAAAH3n76c=")</f>
        <v>#VALUE!</v>
      </c>
      <c r="FM35" t="e">
        <f>AND('2015'!AN147,"AAAAAH3n76g=")</f>
        <v>#VALUE!</v>
      </c>
      <c r="FN35" t="e">
        <f>AND('2015'!AO147,"AAAAAH3n76k=")</f>
        <v>#VALUE!</v>
      </c>
      <c r="FO35" t="e">
        <f>AND('2015'!AP147,"AAAAAH3n76o=")</f>
        <v>#VALUE!</v>
      </c>
      <c r="FP35" t="e">
        <f>AND('2015'!AQ147,"AAAAAH3n76s=")</f>
        <v>#VALUE!</v>
      </c>
      <c r="FQ35" t="e">
        <f>AND('2015'!AR147,"AAAAAH3n76w=")</f>
        <v>#VALUE!</v>
      </c>
      <c r="FR35" t="e">
        <f>AND('2015'!AS147,"AAAAAH3n760=")</f>
        <v>#VALUE!</v>
      </c>
      <c r="FS35" t="e">
        <f>AND('2015'!AT147,"AAAAAH3n764=")</f>
        <v>#VALUE!</v>
      </c>
      <c r="FT35" t="e">
        <f>AND('2015'!#REF!,"AAAAAH3n768=")</f>
        <v>#REF!</v>
      </c>
      <c r="FU35" t="e">
        <f>AND('2015'!AU147,"AAAAAH3n77A=")</f>
        <v>#VALUE!</v>
      </c>
      <c r="FV35" t="e">
        <f>AND('2015'!AV147,"AAAAAH3n77E=")</f>
        <v>#VALUE!</v>
      </c>
      <c r="FW35" t="e">
        <f>AND('2015'!AW147,"AAAAAH3n77I=")</f>
        <v>#VALUE!</v>
      </c>
      <c r="FX35" t="e">
        <f>AND('2015'!AX147,"AAAAAH3n77M=")</f>
        <v>#VALUE!</v>
      </c>
      <c r="FY35" t="e">
        <f>AND('2015'!AY147,"AAAAAH3n77Q=")</f>
        <v>#VALUE!</v>
      </c>
      <c r="FZ35" t="e">
        <f>AND('2015'!AZ147,"AAAAAH3n77U=")</f>
        <v>#VALUE!</v>
      </c>
      <c r="GA35" t="e">
        <f>AND('2015'!BA147,"AAAAAH3n77Y=")</f>
        <v>#VALUE!</v>
      </c>
      <c r="GB35" t="e">
        <f>AND('2015'!BB147,"AAAAAH3n77c=")</f>
        <v>#VALUE!</v>
      </c>
      <c r="GC35" t="e">
        <f>AND('2015'!BC147,"AAAAAH3n77g=")</f>
        <v>#VALUE!</v>
      </c>
      <c r="GD35" t="e">
        <f>AND('2015'!BD147,"AAAAAH3n77k=")</f>
        <v>#VALUE!</v>
      </c>
      <c r="GE35" t="e">
        <f>AND('2015'!BE147,"AAAAAH3n77o=")</f>
        <v>#VALUE!</v>
      </c>
      <c r="GF35" t="e">
        <f>AND('2015'!BF147,"AAAAAH3n77s=")</f>
        <v>#VALUE!</v>
      </c>
      <c r="GG35" t="e">
        <f>AND('2015'!BG147,"AAAAAH3n77w=")</f>
        <v>#VALUE!</v>
      </c>
      <c r="GH35" t="e">
        <f>AND('2015'!BH147,"AAAAAH3n770=")</f>
        <v>#VALUE!</v>
      </c>
      <c r="GI35" t="e">
        <f>AND('2015'!BI147,"AAAAAH3n774=")</f>
        <v>#VALUE!</v>
      </c>
      <c r="GJ35" t="e">
        <f>AND('2015'!#REF!,"AAAAAH3n778=")</f>
        <v>#REF!</v>
      </c>
      <c r="GK35" t="e">
        <f>AND('2015'!BJ147,"AAAAAH3n78A=")</f>
        <v>#VALUE!</v>
      </c>
      <c r="GL35" t="e">
        <f>AND('2015'!BK147,"AAAAAH3n78E=")</f>
        <v>#VALUE!</v>
      </c>
      <c r="GM35" t="e">
        <f>AND('2015'!BL147,"AAAAAH3n78I=")</f>
        <v>#VALUE!</v>
      </c>
      <c r="GN35" t="e">
        <f>AND('2015'!BM147,"AAAAAH3n78M=")</f>
        <v>#VALUE!</v>
      </c>
      <c r="GO35" t="e">
        <f>AND('2015'!BY147,"AAAAAH3n78Q=")</f>
        <v>#VALUE!</v>
      </c>
      <c r="GP35">
        <f>IF('2015'!148:148,"AAAAAH3n78U=",0)</f>
        <v>0</v>
      </c>
      <c r="GQ35" t="e">
        <f>AND('2015'!A148,"AAAAAH3n78Y=")</f>
        <v>#VALUE!</v>
      </c>
      <c r="GR35" t="e">
        <f>AND('2015'!B148,"AAAAAH3n78c=")</f>
        <v>#VALUE!</v>
      </c>
      <c r="GS35" t="e">
        <f>AND('2015'!C148,"AAAAAH3n78g=")</f>
        <v>#VALUE!</v>
      </c>
      <c r="GT35" t="e">
        <f>AND('2015'!D148,"AAAAAH3n78k=")</f>
        <v>#VALUE!</v>
      </c>
      <c r="GU35" t="e">
        <f>AND('2015'!E148,"AAAAAH3n78o=")</f>
        <v>#VALUE!</v>
      </c>
      <c r="GV35" t="e">
        <f>AND('2015'!F148,"AAAAAH3n78s=")</f>
        <v>#VALUE!</v>
      </c>
      <c r="GW35" t="e">
        <f>AND('2015'!G148,"AAAAAH3n78w=")</f>
        <v>#VALUE!</v>
      </c>
      <c r="GX35" t="e">
        <f>AND('2015'!H148,"AAAAAH3n780=")</f>
        <v>#VALUE!</v>
      </c>
      <c r="GY35" t="e">
        <f>AND('2015'!I148,"AAAAAH3n784=")</f>
        <v>#VALUE!</v>
      </c>
      <c r="GZ35" t="e">
        <f>AND('2015'!J148,"AAAAAH3n788=")</f>
        <v>#VALUE!</v>
      </c>
      <c r="HA35" t="e">
        <f>AND('2015'!K148,"AAAAAH3n79A=")</f>
        <v>#VALUE!</v>
      </c>
      <c r="HB35" t="e">
        <f>AND('2015'!L148,"AAAAAH3n79E=")</f>
        <v>#VALUE!</v>
      </c>
      <c r="HC35" t="e">
        <f>AND('2015'!M148,"AAAAAH3n79I=")</f>
        <v>#VALUE!</v>
      </c>
      <c r="HD35" t="e">
        <f>AND('2015'!N148,"AAAAAH3n79M=")</f>
        <v>#VALUE!</v>
      </c>
      <c r="HE35" t="e">
        <f>AND('2015'!O148,"AAAAAH3n79Q=")</f>
        <v>#VALUE!</v>
      </c>
      <c r="HF35" t="e">
        <f>AND('2015'!P148,"AAAAAH3n79U=")</f>
        <v>#VALUE!</v>
      </c>
      <c r="HG35" t="e">
        <f>AND('2015'!Q148,"AAAAAH3n79Y=")</f>
        <v>#VALUE!</v>
      </c>
      <c r="HH35" t="e">
        <f>AND('2015'!R148,"AAAAAH3n79c=")</f>
        <v>#VALUE!</v>
      </c>
      <c r="HI35" t="e">
        <f>AND('2015'!S148,"AAAAAH3n79g=")</f>
        <v>#VALUE!</v>
      </c>
      <c r="HJ35" t="e">
        <f>AND('2015'!T148,"AAAAAH3n79k=")</f>
        <v>#VALUE!</v>
      </c>
      <c r="HK35" t="e">
        <f>AND('2015'!U148,"AAAAAH3n79o=")</f>
        <v>#VALUE!</v>
      </c>
      <c r="HL35" t="e">
        <f>AND('2015'!V148,"AAAAAH3n79s=")</f>
        <v>#VALUE!</v>
      </c>
      <c r="HM35" t="e">
        <f>AND('2015'!W148,"AAAAAH3n79w=")</f>
        <v>#VALUE!</v>
      </c>
      <c r="HN35" t="e">
        <f>AND('2015'!X148,"AAAAAH3n790=")</f>
        <v>#VALUE!</v>
      </c>
      <c r="HO35" t="e">
        <f>AND('2015'!Y148,"AAAAAH3n794=")</f>
        <v>#VALUE!</v>
      </c>
      <c r="HP35" t="e">
        <f>AND('2015'!Z148,"AAAAAH3n798=")</f>
        <v>#VALUE!</v>
      </c>
      <c r="HQ35" t="e">
        <f>AND('2015'!AA148,"AAAAAH3n7+A=")</f>
        <v>#VALUE!</v>
      </c>
      <c r="HR35" t="e">
        <f>AND('2015'!AB148,"AAAAAH3n7+E=")</f>
        <v>#VALUE!</v>
      </c>
      <c r="HS35" t="e">
        <f>AND('2015'!AC148,"AAAAAH3n7+I=")</f>
        <v>#VALUE!</v>
      </c>
      <c r="HT35" t="e">
        <f>AND('2015'!AD148,"AAAAAH3n7+M=")</f>
        <v>#VALUE!</v>
      </c>
      <c r="HU35" t="e">
        <f>AND('2015'!AE148,"AAAAAH3n7+Q=")</f>
        <v>#VALUE!</v>
      </c>
      <c r="HV35" t="e">
        <f>AND('2015'!AF148,"AAAAAH3n7+U=")</f>
        <v>#VALUE!</v>
      </c>
      <c r="HW35" t="e">
        <f>AND('2015'!AG148,"AAAAAH3n7+Y=")</f>
        <v>#VALUE!</v>
      </c>
      <c r="HX35" t="e">
        <f>AND('2015'!AH148,"AAAAAH3n7+c=")</f>
        <v>#VALUE!</v>
      </c>
      <c r="HY35" t="e">
        <f>AND('2015'!AI148,"AAAAAH3n7+g=")</f>
        <v>#VALUE!</v>
      </c>
      <c r="HZ35" t="e">
        <f>AND('2015'!AJ148,"AAAAAH3n7+k=")</f>
        <v>#VALUE!</v>
      </c>
      <c r="IA35" t="e">
        <f>AND('2015'!AK148,"AAAAAH3n7+o=")</f>
        <v>#VALUE!</v>
      </c>
      <c r="IB35" t="e">
        <f>AND('2015'!AL148,"AAAAAH3n7+s=")</f>
        <v>#VALUE!</v>
      </c>
      <c r="IC35" t="e">
        <f>AND('2015'!AM148,"AAAAAH3n7+w=")</f>
        <v>#VALUE!</v>
      </c>
      <c r="ID35" t="e">
        <f>AND('2015'!AN148,"AAAAAH3n7+0=")</f>
        <v>#VALUE!</v>
      </c>
      <c r="IE35" t="e">
        <f>AND('2015'!AO148,"AAAAAH3n7+4=")</f>
        <v>#VALUE!</v>
      </c>
      <c r="IF35" t="e">
        <f>AND('2015'!AP148,"AAAAAH3n7+8=")</f>
        <v>#VALUE!</v>
      </c>
      <c r="IG35" t="e">
        <f>AND('2015'!AQ148,"AAAAAH3n7/A=")</f>
        <v>#VALUE!</v>
      </c>
      <c r="IH35" t="e">
        <f>AND('2015'!AR148,"AAAAAH3n7/E=")</f>
        <v>#VALUE!</v>
      </c>
      <c r="II35" t="e">
        <f>AND('2015'!AS148,"AAAAAH3n7/I=")</f>
        <v>#VALUE!</v>
      </c>
      <c r="IJ35" t="e">
        <f>AND('2015'!AT148,"AAAAAH3n7/M=")</f>
        <v>#VALUE!</v>
      </c>
      <c r="IK35" t="e">
        <f>AND('2015'!#REF!,"AAAAAH3n7/Q=")</f>
        <v>#REF!</v>
      </c>
      <c r="IL35" t="e">
        <f>AND('2015'!AU148,"AAAAAH3n7/U=")</f>
        <v>#VALUE!</v>
      </c>
      <c r="IM35" t="e">
        <f>AND('2015'!AV148,"AAAAAH3n7/Y=")</f>
        <v>#VALUE!</v>
      </c>
      <c r="IN35" t="e">
        <f>AND('2015'!AW148,"AAAAAH3n7/c=")</f>
        <v>#VALUE!</v>
      </c>
      <c r="IO35" t="e">
        <f>AND('2015'!AX148,"AAAAAH3n7/g=")</f>
        <v>#VALUE!</v>
      </c>
      <c r="IP35" t="e">
        <f>AND('2015'!AY148,"AAAAAH3n7/k=")</f>
        <v>#VALUE!</v>
      </c>
      <c r="IQ35" t="e">
        <f>AND('2015'!AZ148,"AAAAAH3n7/o=")</f>
        <v>#VALUE!</v>
      </c>
      <c r="IR35" t="e">
        <f>AND('2015'!BA148,"AAAAAH3n7/s=")</f>
        <v>#VALUE!</v>
      </c>
      <c r="IS35" t="e">
        <f>AND('2015'!BB148,"AAAAAH3n7/w=")</f>
        <v>#VALUE!</v>
      </c>
      <c r="IT35" t="e">
        <f>AND('2015'!BC148,"AAAAAH3n7/0=")</f>
        <v>#VALUE!</v>
      </c>
      <c r="IU35" t="e">
        <f>AND('2015'!BD148,"AAAAAH3n7/4=")</f>
        <v>#VALUE!</v>
      </c>
      <c r="IV35" t="e">
        <f>AND('2015'!BE148,"AAAAAH3n7/8=")</f>
        <v>#VALUE!</v>
      </c>
    </row>
    <row r="36" spans="1:256" x14ac:dyDescent="0.25">
      <c r="A36" t="e">
        <f>AND('2015'!BF148,"AAAAAHN/+wA=")</f>
        <v>#VALUE!</v>
      </c>
      <c r="B36" t="e">
        <f>AND('2015'!BG148,"AAAAAHN/+wE=")</f>
        <v>#VALUE!</v>
      </c>
      <c r="C36" t="e">
        <f>AND('2015'!BH148,"AAAAAHN/+wI=")</f>
        <v>#VALUE!</v>
      </c>
      <c r="D36" t="e">
        <f>AND('2015'!BI148,"AAAAAHN/+wM=")</f>
        <v>#VALUE!</v>
      </c>
      <c r="E36" t="e">
        <f>AND('2015'!#REF!,"AAAAAHN/+wQ=")</f>
        <v>#REF!</v>
      </c>
      <c r="F36" t="e">
        <f>AND('2015'!BJ148,"AAAAAHN/+wU=")</f>
        <v>#VALUE!</v>
      </c>
      <c r="G36" t="e">
        <f>AND('2015'!BK148,"AAAAAHN/+wY=")</f>
        <v>#VALUE!</v>
      </c>
      <c r="H36" t="e">
        <f>AND('2015'!BL148,"AAAAAHN/+wc=")</f>
        <v>#VALUE!</v>
      </c>
      <c r="I36" t="e">
        <f>AND('2015'!BM148,"AAAAAHN/+wg=")</f>
        <v>#VALUE!</v>
      </c>
      <c r="J36" t="e">
        <f>AND('2015'!BY148,"AAAAAHN/+wk=")</f>
        <v>#VALUE!</v>
      </c>
      <c r="K36">
        <f>IF('2015'!149:149,"AAAAAHN/+wo=",0)</f>
        <v>0</v>
      </c>
      <c r="L36" t="e">
        <f>AND('2015'!A149,"AAAAAHN/+ws=")</f>
        <v>#VALUE!</v>
      </c>
      <c r="M36" t="e">
        <f>AND('2015'!B149,"AAAAAHN/+ww=")</f>
        <v>#VALUE!</v>
      </c>
      <c r="N36" t="e">
        <f>AND('2015'!C149,"AAAAAHN/+w0=")</f>
        <v>#VALUE!</v>
      </c>
      <c r="O36" t="e">
        <f>AND('2015'!D149,"AAAAAHN/+w4=")</f>
        <v>#VALUE!</v>
      </c>
      <c r="P36" t="e">
        <f>AND('2015'!E149,"AAAAAHN/+w8=")</f>
        <v>#VALUE!</v>
      </c>
      <c r="Q36" t="e">
        <f>AND('2015'!F149,"AAAAAHN/+xA=")</f>
        <v>#VALUE!</v>
      </c>
      <c r="R36" t="e">
        <f>AND('2015'!G149,"AAAAAHN/+xE=")</f>
        <v>#VALUE!</v>
      </c>
      <c r="S36" t="e">
        <f>AND('2015'!H149,"AAAAAHN/+xI=")</f>
        <v>#VALUE!</v>
      </c>
      <c r="T36" t="e">
        <f>AND('2015'!I149,"AAAAAHN/+xM=")</f>
        <v>#VALUE!</v>
      </c>
      <c r="U36" t="e">
        <f>AND('2015'!J149,"AAAAAHN/+xQ=")</f>
        <v>#VALUE!</v>
      </c>
      <c r="V36" t="e">
        <f>AND('2015'!K149,"AAAAAHN/+xU=")</f>
        <v>#VALUE!</v>
      </c>
      <c r="W36" t="e">
        <f>AND('2015'!L149,"AAAAAHN/+xY=")</f>
        <v>#VALUE!</v>
      </c>
      <c r="X36" t="e">
        <f>AND('2015'!M149,"AAAAAHN/+xc=")</f>
        <v>#VALUE!</v>
      </c>
      <c r="Y36" t="e">
        <f>AND('2015'!N149,"AAAAAHN/+xg=")</f>
        <v>#VALUE!</v>
      </c>
      <c r="Z36" t="e">
        <f>AND('2015'!O149,"AAAAAHN/+xk=")</f>
        <v>#VALUE!</v>
      </c>
      <c r="AA36" t="e">
        <f>AND('2015'!P149,"AAAAAHN/+xo=")</f>
        <v>#VALUE!</v>
      </c>
      <c r="AB36" t="e">
        <f>AND('2015'!Q149,"AAAAAHN/+xs=")</f>
        <v>#VALUE!</v>
      </c>
      <c r="AC36" t="e">
        <f>AND('2015'!R149,"AAAAAHN/+xw=")</f>
        <v>#VALUE!</v>
      </c>
      <c r="AD36" t="e">
        <f>AND('2015'!S149,"AAAAAHN/+x0=")</f>
        <v>#VALUE!</v>
      </c>
      <c r="AE36" t="e">
        <f>AND('2015'!T149,"AAAAAHN/+x4=")</f>
        <v>#VALUE!</v>
      </c>
      <c r="AF36" t="e">
        <f>AND('2015'!U149,"AAAAAHN/+x8=")</f>
        <v>#VALUE!</v>
      </c>
      <c r="AG36" t="e">
        <f>AND('2015'!V149,"AAAAAHN/+yA=")</f>
        <v>#VALUE!</v>
      </c>
      <c r="AH36" t="e">
        <f>AND('2015'!W149,"AAAAAHN/+yE=")</f>
        <v>#VALUE!</v>
      </c>
      <c r="AI36" t="e">
        <f>AND('2015'!X149,"AAAAAHN/+yI=")</f>
        <v>#VALUE!</v>
      </c>
      <c r="AJ36" t="e">
        <f>AND('2015'!Y149,"AAAAAHN/+yM=")</f>
        <v>#VALUE!</v>
      </c>
      <c r="AK36" t="e">
        <f>AND('2015'!Z149,"AAAAAHN/+yQ=")</f>
        <v>#VALUE!</v>
      </c>
      <c r="AL36" t="e">
        <f>AND('2015'!AA149,"AAAAAHN/+yU=")</f>
        <v>#VALUE!</v>
      </c>
      <c r="AM36" t="e">
        <f>AND('2015'!AB149,"AAAAAHN/+yY=")</f>
        <v>#VALUE!</v>
      </c>
      <c r="AN36" t="e">
        <f>AND('2015'!AC149,"AAAAAHN/+yc=")</f>
        <v>#VALUE!</v>
      </c>
      <c r="AO36" t="e">
        <f>AND('2015'!AD149,"AAAAAHN/+yg=")</f>
        <v>#VALUE!</v>
      </c>
      <c r="AP36" t="e">
        <f>AND('2015'!AE149,"AAAAAHN/+yk=")</f>
        <v>#VALUE!</v>
      </c>
      <c r="AQ36" t="e">
        <f>AND('2015'!AF149,"AAAAAHN/+yo=")</f>
        <v>#VALUE!</v>
      </c>
      <c r="AR36" t="e">
        <f>AND('2015'!AG149,"AAAAAHN/+ys=")</f>
        <v>#VALUE!</v>
      </c>
      <c r="AS36" t="e">
        <f>AND('2015'!AH149,"AAAAAHN/+yw=")</f>
        <v>#VALUE!</v>
      </c>
      <c r="AT36" t="e">
        <f>AND('2015'!AI149,"AAAAAHN/+y0=")</f>
        <v>#VALUE!</v>
      </c>
      <c r="AU36" t="e">
        <f>AND('2015'!AJ149,"AAAAAHN/+y4=")</f>
        <v>#VALUE!</v>
      </c>
      <c r="AV36" t="e">
        <f>AND('2015'!AK149,"AAAAAHN/+y8=")</f>
        <v>#VALUE!</v>
      </c>
      <c r="AW36" t="e">
        <f>AND('2015'!AL149,"AAAAAHN/+zA=")</f>
        <v>#VALUE!</v>
      </c>
      <c r="AX36" t="e">
        <f>AND('2015'!AM149,"AAAAAHN/+zE=")</f>
        <v>#VALUE!</v>
      </c>
      <c r="AY36" t="e">
        <f>AND('2015'!AN149,"AAAAAHN/+zI=")</f>
        <v>#VALUE!</v>
      </c>
      <c r="AZ36" t="e">
        <f>AND('2015'!AO149,"AAAAAHN/+zM=")</f>
        <v>#VALUE!</v>
      </c>
      <c r="BA36" t="e">
        <f>AND('2015'!AP149,"AAAAAHN/+zQ=")</f>
        <v>#VALUE!</v>
      </c>
      <c r="BB36" t="e">
        <f>AND('2015'!AQ149,"AAAAAHN/+zU=")</f>
        <v>#VALUE!</v>
      </c>
      <c r="BC36" t="e">
        <f>AND('2015'!AR149,"AAAAAHN/+zY=")</f>
        <v>#VALUE!</v>
      </c>
      <c r="BD36" t="e">
        <f>AND('2015'!AS149,"AAAAAHN/+zc=")</f>
        <v>#VALUE!</v>
      </c>
      <c r="BE36" t="e">
        <f>AND('2015'!AT149,"AAAAAHN/+zg=")</f>
        <v>#VALUE!</v>
      </c>
      <c r="BF36" t="e">
        <f>AND('2015'!#REF!,"AAAAAHN/+zk=")</f>
        <v>#REF!</v>
      </c>
      <c r="BG36" t="e">
        <f>AND('2015'!AU149,"AAAAAHN/+zo=")</f>
        <v>#VALUE!</v>
      </c>
      <c r="BH36" t="e">
        <f>AND('2015'!AV149,"AAAAAHN/+zs=")</f>
        <v>#VALUE!</v>
      </c>
      <c r="BI36" t="e">
        <f>AND('2015'!AW149,"AAAAAHN/+zw=")</f>
        <v>#VALUE!</v>
      </c>
      <c r="BJ36" t="e">
        <f>AND('2015'!AX149,"AAAAAHN/+z0=")</f>
        <v>#VALUE!</v>
      </c>
      <c r="BK36" t="e">
        <f>AND('2015'!AY149,"AAAAAHN/+z4=")</f>
        <v>#VALUE!</v>
      </c>
      <c r="BL36" t="e">
        <f>AND('2015'!AZ149,"AAAAAHN/+z8=")</f>
        <v>#VALUE!</v>
      </c>
      <c r="BM36" t="e">
        <f>AND('2015'!BA149,"AAAAAHN/+0A=")</f>
        <v>#VALUE!</v>
      </c>
      <c r="BN36" t="e">
        <f>AND('2015'!BB149,"AAAAAHN/+0E=")</f>
        <v>#VALUE!</v>
      </c>
      <c r="BO36" t="e">
        <f>AND('2015'!BC149,"AAAAAHN/+0I=")</f>
        <v>#VALUE!</v>
      </c>
      <c r="BP36" t="e">
        <f>AND('2015'!BD149,"AAAAAHN/+0M=")</f>
        <v>#VALUE!</v>
      </c>
      <c r="BQ36" t="e">
        <f>AND('2015'!BE149,"AAAAAHN/+0Q=")</f>
        <v>#VALUE!</v>
      </c>
      <c r="BR36" t="e">
        <f>AND('2015'!BF149,"AAAAAHN/+0U=")</f>
        <v>#VALUE!</v>
      </c>
      <c r="BS36" t="e">
        <f>AND('2015'!BG149,"AAAAAHN/+0Y=")</f>
        <v>#VALUE!</v>
      </c>
      <c r="BT36" t="e">
        <f>AND('2015'!BH149,"AAAAAHN/+0c=")</f>
        <v>#VALUE!</v>
      </c>
      <c r="BU36" t="e">
        <f>AND('2015'!BI149,"AAAAAHN/+0g=")</f>
        <v>#VALUE!</v>
      </c>
      <c r="BV36" t="e">
        <f>AND('2015'!#REF!,"AAAAAHN/+0k=")</f>
        <v>#REF!</v>
      </c>
      <c r="BW36" t="e">
        <f>AND('2015'!BJ149,"AAAAAHN/+0o=")</f>
        <v>#VALUE!</v>
      </c>
      <c r="BX36" t="e">
        <f>AND('2015'!BK149,"AAAAAHN/+0s=")</f>
        <v>#VALUE!</v>
      </c>
      <c r="BY36" t="e">
        <f>AND('2015'!BL149,"AAAAAHN/+0w=")</f>
        <v>#VALUE!</v>
      </c>
      <c r="BZ36" t="e">
        <f>AND('2015'!BM149,"AAAAAHN/+00=")</f>
        <v>#VALUE!</v>
      </c>
      <c r="CA36" t="e">
        <f>AND('2015'!BY149,"AAAAAHN/+04=")</f>
        <v>#VALUE!</v>
      </c>
      <c r="CB36">
        <f>IF('2015'!150:150,"AAAAAHN/+08=",0)</f>
        <v>0</v>
      </c>
      <c r="CC36" t="e">
        <f>AND('2015'!A150,"AAAAAHN/+1A=")</f>
        <v>#VALUE!</v>
      </c>
      <c r="CD36" t="e">
        <f>AND('2015'!B150,"AAAAAHN/+1E=")</f>
        <v>#VALUE!</v>
      </c>
      <c r="CE36" t="e">
        <f>AND('2015'!C150,"AAAAAHN/+1I=")</f>
        <v>#VALUE!</v>
      </c>
      <c r="CF36" t="e">
        <f>AND('2015'!D150,"AAAAAHN/+1M=")</f>
        <v>#VALUE!</v>
      </c>
      <c r="CG36" t="e">
        <f>AND('2015'!E150,"AAAAAHN/+1Q=")</f>
        <v>#VALUE!</v>
      </c>
      <c r="CH36" t="e">
        <f>AND('2015'!F150,"AAAAAHN/+1U=")</f>
        <v>#VALUE!</v>
      </c>
      <c r="CI36" t="e">
        <f>AND('2015'!G150,"AAAAAHN/+1Y=")</f>
        <v>#VALUE!</v>
      </c>
      <c r="CJ36" t="e">
        <f>AND('2015'!H150,"AAAAAHN/+1c=")</f>
        <v>#VALUE!</v>
      </c>
      <c r="CK36" t="e">
        <f>AND('2015'!I150,"AAAAAHN/+1g=")</f>
        <v>#VALUE!</v>
      </c>
      <c r="CL36" t="e">
        <f>AND('2015'!J150,"AAAAAHN/+1k=")</f>
        <v>#VALUE!</v>
      </c>
      <c r="CM36" t="e">
        <f>AND('2015'!K150,"AAAAAHN/+1o=")</f>
        <v>#VALUE!</v>
      </c>
      <c r="CN36" t="e">
        <f>AND('2015'!L150,"AAAAAHN/+1s=")</f>
        <v>#VALUE!</v>
      </c>
      <c r="CO36" t="e">
        <f>AND('2015'!M150,"AAAAAHN/+1w=")</f>
        <v>#VALUE!</v>
      </c>
      <c r="CP36" t="e">
        <f>AND('2015'!N150,"AAAAAHN/+10=")</f>
        <v>#VALUE!</v>
      </c>
      <c r="CQ36" t="e">
        <f>AND('2015'!O150,"AAAAAHN/+14=")</f>
        <v>#VALUE!</v>
      </c>
      <c r="CR36" t="e">
        <f>AND('2015'!P150,"AAAAAHN/+18=")</f>
        <v>#VALUE!</v>
      </c>
      <c r="CS36" t="e">
        <f>AND('2015'!Q150,"AAAAAHN/+2A=")</f>
        <v>#VALUE!</v>
      </c>
      <c r="CT36" t="e">
        <f>AND('2015'!R150,"AAAAAHN/+2E=")</f>
        <v>#VALUE!</v>
      </c>
      <c r="CU36" t="e">
        <f>AND('2015'!S150,"AAAAAHN/+2I=")</f>
        <v>#VALUE!</v>
      </c>
      <c r="CV36" t="e">
        <f>AND('2015'!T150,"AAAAAHN/+2M=")</f>
        <v>#VALUE!</v>
      </c>
      <c r="CW36" t="e">
        <f>AND('2015'!U150,"AAAAAHN/+2Q=")</f>
        <v>#VALUE!</v>
      </c>
      <c r="CX36" t="e">
        <f>AND('2015'!V150,"AAAAAHN/+2U=")</f>
        <v>#VALUE!</v>
      </c>
      <c r="CY36" t="e">
        <f>AND('2015'!W150,"AAAAAHN/+2Y=")</f>
        <v>#VALUE!</v>
      </c>
      <c r="CZ36" t="e">
        <f>AND('2015'!X150,"AAAAAHN/+2c=")</f>
        <v>#VALUE!</v>
      </c>
      <c r="DA36" t="e">
        <f>AND('2015'!Y150,"AAAAAHN/+2g=")</f>
        <v>#VALUE!</v>
      </c>
      <c r="DB36" t="e">
        <f>AND('2015'!Z150,"AAAAAHN/+2k=")</f>
        <v>#VALUE!</v>
      </c>
      <c r="DC36" t="e">
        <f>AND('2015'!AA150,"AAAAAHN/+2o=")</f>
        <v>#VALUE!</v>
      </c>
      <c r="DD36" t="e">
        <f>AND('2015'!AB150,"AAAAAHN/+2s=")</f>
        <v>#VALUE!</v>
      </c>
      <c r="DE36" t="e">
        <f>AND('2015'!AC150,"AAAAAHN/+2w=")</f>
        <v>#VALUE!</v>
      </c>
      <c r="DF36" t="e">
        <f>AND('2015'!AD150,"AAAAAHN/+20=")</f>
        <v>#VALUE!</v>
      </c>
      <c r="DG36" t="e">
        <f>AND('2015'!AE150,"AAAAAHN/+24=")</f>
        <v>#VALUE!</v>
      </c>
      <c r="DH36" t="e">
        <f>AND('2015'!AF150,"AAAAAHN/+28=")</f>
        <v>#VALUE!</v>
      </c>
      <c r="DI36" t="e">
        <f>AND('2015'!AG150,"AAAAAHN/+3A=")</f>
        <v>#VALUE!</v>
      </c>
      <c r="DJ36" t="e">
        <f>AND('2015'!AH150,"AAAAAHN/+3E=")</f>
        <v>#VALUE!</v>
      </c>
      <c r="DK36" t="e">
        <f>AND('2015'!AI150,"AAAAAHN/+3I=")</f>
        <v>#VALUE!</v>
      </c>
      <c r="DL36" t="e">
        <f>AND('2015'!AJ150,"AAAAAHN/+3M=")</f>
        <v>#VALUE!</v>
      </c>
      <c r="DM36" t="e">
        <f>AND('2015'!AK150,"AAAAAHN/+3Q=")</f>
        <v>#VALUE!</v>
      </c>
      <c r="DN36" t="e">
        <f>AND('2015'!AL150,"AAAAAHN/+3U=")</f>
        <v>#VALUE!</v>
      </c>
      <c r="DO36" t="e">
        <f>AND('2015'!AM150,"AAAAAHN/+3Y=")</f>
        <v>#VALUE!</v>
      </c>
      <c r="DP36" t="e">
        <f>AND('2015'!AN150,"AAAAAHN/+3c=")</f>
        <v>#VALUE!</v>
      </c>
      <c r="DQ36" t="e">
        <f>AND('2015'!AO150,"AAAAAHN/+3g=")</f>
        <v>#VALUE!</v>
      </c>
      <c r="DR36" t="e">
        <f>AND('2015'!AP150,"AAAAAHN/+3k=")</f>
        <v>#VALUE!</v>
      </c>
      <c r="DS36" t="e">
        <f>AND('2015'!AQ150,"AAAAAHN/+3o=")</f>
        <v>#VALUE!</v>
      </c>
      <c r="DT36" t="e">
        <f>AND('2015'!AR150,"AAAAAHN/+3s=")</f>
        <v>#VALUE!</v>
      </c>
      <c r="DU36" t="e">
        <f>AND('2015'!AS150,"AAAAAHN/+3w=")</f>
        <v>#VALUE!</v>
      </c>
      <c r="DV36" t="e">
        <f>AND('2015'!AT150,"AAAAAHN/+30=")</f>
        <v>#VALUE!</v>
      </c>
      <c r="DW36" t="e">
        <f>AND('2015'!#REF!,"AAAAAHN/+34=")</f>
        <v>#REF!</v>
      </c>
      <c r="DX36" t="e">
        <f>AND('2015'!AU150,"AAAAAHN/+38=")</f>
        <v>#VALUE!</v>
      </c>
      <c r="DY36" t="e">
        <f>AND('2015'!AV150,"AAAAAHN/+4A=")</f>
        <v>#VALUE!</v>
      </c>
      <c r="DZ36" t="e">
        <f>AND('2015'!AW150,"AAAAAHN/+4E=")</f>
        <v>#VALUE!</v>
      </c>
      <c r="EA36" t="e">
        <f>AND('2015'!AX150,"AAAAAHN/+4I=")</f>
        <v>#VALUE!</v>
      </c>
      <c r="EB36" t="e">
        <f>AND('2015'!AY150,"AAAAAHN/+4M=")</f>
        <v>#VALUE!</v>
      </c>
      <c r="EC36" t="e">
        <f>AND('2015'!AZ150,"AAAAAHN/+4Q=")</f>
        <v>#VALUE!</v>
      </c>
      <c r="ED36" t="e">
        <f>AND('2015'!BA150,"AAAAAHN/+4U=")</f>
        <v>#VALUE!</v>
      </c>
      <c r="EE36" t="e">
        <f>AND('2015'!BB150,"AAAAAHN/+4Y=")</f>
        <v>#VALUE!</v>
      </c>
      <c r="EF36" t="e">
        <f>AND('2015'!BC150,"AAAAAHN/+4c=")</f>
        <v>#VALUE!</v>
      </c>
      <c r="EG36" t="e">
        <f>AND('2015'!BD150,"AAAAAHN/+4g=")</f>
        <v>#VALUE!</v>
      </c>
      <c r="EH36" t="e">
        <f>AND('2015'!BE150,"AAAAAHN/+4k=")</f>
        <v>#VALUE!</v>
      </c>
      <c r="EI36" t="e">
        <f>AND('2015'!BF150,"AAAAAHN/+4o=")</f>
        <v>#VALUE!</v>
      </c>
      <c r="EJ36" t="e">
        <f>AND('2015'!BG150,"AAAAAHN/+4s=")</f>
        <v>#VALUE!</v>
      </c>
      <c r="EK36" t="e">
        <f>AND('2015'!BH150,"AAAAAHN/+4w=")</f>
        <v>#VALUE!</v>
      </c>
      <c r="EL36" t="e">
        <f>AND('2015'!BI150,"AAAAAHN/+40=")</f>
        <v>#VALUE!</v>
      </c>
      <c r="EM36" t="e">
        <f>AND('2015'!#REF!,"AAAAAHN/+44=")</f>
        <v>#REF!</v>
      </c>
      <c r="EN36" t="e">
        <f>AND('2015'!BJ150,"AAAAAHN/+48=")</f>
        <v>#VALUE!</v>
      </c>
      <c r="EO36" t="e">
        <f>AND('2015'!BK150,"AAAAAHN/+5A=")</f>
        <v>#VALUE!</v>
      </c>
      <c r="EP36" t="e">
        <f>AND('2015'!BL150,"AAAAAHN/+5E=")</f>
        <v>#VALUE!</v>
      </c>
      <c r="EQ36" t="e">
        <f>AND('2015'!BM150,"AAAAAHN/+5I=")</f>
        <v>#VALUE!</v>
      </c>
      <c r="ER36" t="e">
        <f>AND('2015'!BY150,"AAAAAHN/+5M=")</f>
        <v>#VALUE!</v>
      </c>
      <c r="ES36">
        <f>IF('2015'!151:151,"AAAAAHN/+5Q=",0)</f>
        <v>0</v>
      </c>
      <c r="ET36" t="e">
        <f>AND('2015'!A151,"AAAAAHN/+5U=")</f>
        <v>#VALUE!</v>
      </c>
      <c r="EU36" t="e">
        <f>AND('2015'!B151,"AAAAAHN/+5Y=")</f>
        <v>#VALUE!</v>
      </c>
      <c r="EV36" t="e">
        <f>AND('2015'!C151,"AAAAAHN/+5c=")</f>
        <v>#VALUE!</v>
      </c>
      <c r="EW36" t="e">
        <f>AND('2015'!D151,"AAAAAHN/+5g=")</f>
        <v>#VALUE!</v>
      </c>
      <c r="EX36" t="e">
        <f>AND('2015'!E151,"AAAAAHN/+5k=")</f>
        <v>#VALUE!</v>
      </c>
      <c r="EY36" t="e">
        <f>AND('2015'!F151,"AAAAAHN/+5o=")</f>
        <v>#VALUE!</v>
      </c>
      <c r="EZ36" t="e">
        <f>AND('2015'!G151,"AAAAAHN/+5s=")</f>
        <v>#VALUE!</v>
      </c>
      <c r="FA36" t="e">
        <f>AND('2015'!H151,"AAAAAHN/+5w=")</f>
        <v>#VALUE!</v>
      </c>
      <c r="FB36" t="e">
        <f>AND('2015'!I151,"AAAAAHN/+50=")</f>
        <v>#VALUE!</v>
      </c>
      <c r="FC36" t="e">
        <f>AND('2015'!J151,"AAAAAHN/+54=")</f>
        <v>#VALUE!</v>
      </c>
      <c r="FD36" t="e">
        <f>AND('2015'!K151,"AAAAAHN/+58=")</f>
        <v>#VALUE!</v>
      </c>
      <c r="FE36" t="e">
        <f>AND('2015'!L151,"AAAAAHN/+6A=")</f>
        <v>#VALUE!</v>
      </c>
      <c r="FF36" t="e">
        <f>AND('2015'!M151,"AAAAAHN/+6E=")</f>
        <v>#VALUE!</v>
      </c>
      <c r="FG36" t="e">
        <f>AND('2015'!N151,"AAAAAHN/+6I=")</f>
        <v>#VALUE!</v>
      </c>
      <c r="FH36" t="e">
        <f>AND('2015'!O151,"AAAAAHN/+6M=")</f>
        <v>#VALUE!</v>
      </c>
      <c r="FI36" t="e">
        <f>AND('2015'!P151,"AAAAAHN/+6Q=")</f>
        <v>#VALUE!</v>
      </c>
      <c r="FJ36" t="e">
        <f>AND('2015'!Q151,"AAAAAHN/+6U=")</f>
        <v>#VALUE!</v>
      </c>
      <c r="FK36" t="e">
        <f>AND('2015'!R151,"AAAAAHN/+6Y=")</f>
        <v>#VALUE!</v>
      </c>
      <c r="FL36" t="e">
        <f>AND('2015'!S151,"AAAAAHN/+6c=")</f>
        <v>#VALUE!</v>
      </c>
      <c r="FM36" t="e">
        <f>AND('2015'!T151,"AAAAAHN/+6g=")</f>
        <v>#VALUE!</v>
      </c>
      <c r="FN36" t="e">
        <f>AND('2015'!U151,"AAAAAHN/+6k=")</f>
        <v>#VALUE!</v>
      </c>
      <c r="FO36" t="e">
        <f>AND('2015'!V151,"AAAAAHN/+6o=")</f>
        <v>#VALUE!</v>
      </c>
      <c r="FP36" t="e">
        <f>AND('2015'!W151,"AAAAAHN/+6s=")</f>
        <v>#VALUE!</v>
      </c>
      <c r="FQ36" t="e">
        <f>AND('2015'!X151,"AAAAAHN/+6w=")</f>
        <v>#VALUE!</v>
      </c>
      <c r="FR36" t="e">
        <f>AND('2015'!Y151,"AAAAAHN/+60=")</f>
        <v>#VALUE!</v>
      </c>
      <c r="FS36" t="e">
        <f>AND('2015'!Z151,"AAAAAHN/+64=")</f>
        <v>#VALUE!</v>
      </c>
      <c r="FT36" t="e">
        <f>AND('2015'!AA151,"AAAAAHN/+68=")</f>
        <v>#VALUE!</v>
      </c>
      <c r="FU36" t="e">
        <f>AND('2015'!AB151,"AAAAAHN/+7A=")</f>
        <v>#VALUE!</v>
      </c>
      <c r="FV36" t="e">
        <f>AND('2015'!AC151,"AAAAAHN/+7E=")</f>
        <v>#VALUE!</v>
      </c>
      <c r="FW36" t="e">
        <f>AND('2015'!AD151,"AAAAAHN/+7I=")</f>
        <v>#VALUE!</v>
      </c>
      <c r="FX36" t="e">
        <f>AND('2015'!AE151,"AAAAAHN/+7M=")</f>
        <v>#VALUE!</v>
      </c>
      <c r="FY36" t="e">
        <f>AND('2015'!AF151,"AAAAAHN/+7Q=")</f>
        <v>#VALUE!</v>
      </c>
      <c r="FZ36" t="e">
        <f>AND('2015'!AG151,"AAAAAHN/+7U=")</f>
        <v>#VALUE!</v>
      </c>
      <c r="GA36" t="e">
        <f>AND('2015'!AH151,"AAAAAHN/+7Y=")</f>
        <v>#VALUE!</v>
      </c>
      <c r="GB36" t="e">
        <f>AND('2015'!AI151,"AAAAAHN/+7c=")</f>
        <v>#VALUE!</v>
      </c>
      <c r="GC36" t="e">
        <f>AND('2015'!AJ151,"AAAAAHN/+7g=")</f>
        <v>#VALUE!</v>
      </c>
      <c r="GD36" t="e">
        <f>AND('2015'!AK151,"AAAAAHN/+7k=")</f>
        <v>#VALUE!</v>
      </c>
      <c r="GE36" t="e">
        <f>AND('2015'!AL151,"AAAAAHN/+7o=")</f>
        <v>#VALUE!</v>
      </c>
      <c r="GF36" t="e">
        <f>AND('2015'!AM151,"AAAAAHN/+7s=")</f>
        <v>#VALUE!</v>
      </c>
      <c r="GG36" t="e">
        <f>AND('2015'!AN151,"AAAAAHN/+7w=")</f>
        <v>#VALUE!</v>
      </c>
      <c r="GH36" t="e">
        <f>AND('2015'!AO151,"AAAAAHN/+70=")</f>
        <v>#VALUE!</v>
      </c>
      <c r="GI36" t="e">
        <f>AND('2015'!AP151,"AAAAAHN/+74=")</f>
        <v>#VALUE!</v>
      </c>
      <c r="GJ36" t="e">
        <f>AND('2015'!AQ151,"AAAAAHN/+78=")</f>
        <v>#VALUE!</v>
      </c>
      <c r="GK36" t="e">
        <f>AND('2015'!AR151,"AAAAAHN/+8A=")</f>
        <v>#VALUE!</v>
      </c>
      <c r="GL36" t="e">
        <f>AND('2015'!AS151,"AAAAAHN/+8E=")</f>
        <v>#VALUE!</v>
      </c>
      <c r="GM36" t="e">
        <f>AND('2015'!AT151,"AAAAAHN/+8I=")</f>
        <v>#VALUE!</v>
      </c>
      <c r="GN36" t="e">
        <f>AND('2015'!#REF!,"AAAAAHN/+8M=")</f>
        <v>#REF!</v>
      </c>
      <c r="GO36" t="e">
        <f>AND('2015'!AU151,"AAAAAHN/+8Q=")</f>
        <v>#VALUE!</v>
      </c>
      <c r="GP36" t="e">
        <f>AND('2015'!AV151,"AAAAAHN/+8U=")</f>
        <v>#VALUE!</v>
      </c>
      <c r="GQ36" t="e">
        <f>AND('2015'!AW151,"AAAAAHN/+8Y=")</f>
        <v>#VALUE!</v>
      </c>
      <c r="GR36" t="e">
        <f>AND('2015'!AX151,"AAAAAHN/+8c=")</f>
        <v>#VALUE!</v>
      </c>
      <c r="GS36" t="e">
        <f>AND('2015'!AY151,"AAAAAHN/+8g=")</f>
        <v>#VALUE!</v>
      </c>
      <c r="GT36" t="e">
        <f>AND('2015'!AZ151,"AAAAAHN/+8k=")</f>
        <v>#VALUE!</v>
      </c>
      <c r="GU36" t="e">
        <f>AND('2015'!BA151,"AAAAAHN/+8o=")</f>
        <v>#VALUE!</v>
      </c>
      <c r="GV36" t="e">
        <f>AND('2015'!BB151,"AAAAAHN/+8s=")</f>
        <v>#VALUE!</v>
      </c>
      <c r="GW36" t="e">
        <f>AND('2015'!BC151,"AAAAAHN/+8w=")</f>
        <v>#VALUE!</v>
      </c>
      <c r="GX36" t="e">
        <f>AND('2015'!BD151,"AAAAAHN/+80=")</f>
        <v>#VALUE!</v>
      </c>
      <c r="GY36" t="e">
        <f>AND('2015'!BE151,"AAAAAHN/+84=")</f>
        <v>#VALUE!</v>
      </c>
      <c r="GZ36" t="e">
        <f>AND('2015'!BF151,"AAAAAHN/+88=")</f>
        <v>#VALUE!</v>
      </c>
      <c r="HA36" t="e">
        <f>AND('2015'!BG151,"AAAAAHN/+9A=")</f>
        <v>#VALUE!</v>
      </c>
      <c r="HB36" t="e">
        <f>AND('2015'!BH151,"AAAAAHN/+9E=")</f>
        <v>#VALUE!</v>
      </c>
      <c r="HC36" t="e">
        <f>AND('2015'!BI151,"AAAAAHN/+9I=")</f>
        <v>#VALUE!</v>
      </c>
      <c r="HD36" t="e">
        <f>AND('2015'!#REF!,"AAAAAHN/+9M=")</f>
        <v>#REF!</v>
      </c>
      <c r="HE36" t="e">
        <f>AND('2015'!BJ151,"AAAAAHN/+9Q=")</f>
        <v>#VALUE!</v>
      </c>
      <c r="HF36" t="e">
        <f>AND('2015'!BK151,"AAAAAHN/+9U=")</f>
        <v>#VALUE!</v>
      </c>
      <c r="HG36" t="e">
        <f>AND('2015'!BL151,"AAAAAHN/+9Y=")</f>
        <v>#VALUE!</v>
      </c>
      <c r="HH36" t="e">
        <f>AND('2015'!BM151,"AAAAAHN/+9c=")</f>
        <v>#VALUE!</v>
      </c>
      <c r="HI36" t="e">
        <f>AND('2015'!BY151,"AAAAAHN/+9g=")</f>
        <v>#VALUE!</v>
      </c>
      <c r="HJ36">
        <f>IF('2015'!152:152,"AAAAAHN/+9k=",0)</f>
        <v>0</v>
      </c>
      <c r="HK36" t="e">
        <f>AND('2015'!A152,"AAAAAHN/+9o=")</f>
        <v>#VALUE!</v>
      </c>
      <c r="HL36" t="e">
        <f>AND('2015'!B152,"AAAAAHN/+9s=")</f>
        <v>#VALUE!</v>
      </c>
      <c r="HM36" t="e">
        <f>AND('2015'!C152,"AAAAAHN/+9w=")</f>
        <v>#VALUE!</v>
      </c>
      <c r="HN36" t="e">
        <f>AND('2015'!D152,"AAAAAHN/+90=")</f>
        <v>#VALUE!</v>
      </c>
      <c r="HO36" t="e">
        <f>AND('2015'!E152,"AAAAAHN/+94=")</f>
        <v>#VALUE!</v>
      </c>
      <c r="HP36" t="e">
        <f>AND('2015'!F152,"AAAAAHN/+98=")</f>
        <v>#VALUE!</v>
      </c>
      <c r="HQ36" t="e">
        <f>AND('2015'!G152,"AAAAAHN/++A=")</f>
        <v>#VALUE!</v>
      </c>
      <c r="HR36" t="e">
        <f>AND('2015'!H152,"AAAAAHN/++E=")</f>
        <v>#VALUE!</v>
      </c>
      <c r="HS36" t="e">
        <f>AND('2015'!I152,"AAAAAHN/++I=")</f>
        <v>#VALUE!</v>
      </c>
      <c r="HT36" t="e">
        <f>AND('2015'!J152,"AAAAAHN/++M=")</f>
        <v>#VALUE!</v>
      </c>
      <c r="HU36" t="e">
        <f>AND('2015'!K152,"AAAAAHN/++Q=")</f>
        <v>#VALUE!</v>
      </c>
      <c r="HV36" t="e">
        <f>AND('2015'!L152,"AAAAAHN/++U=")</f>
        <v>#VALUE!</v>
      </c>
      <c r="HW36" t="e">
        <f>AND('2015'!M152,"AAAAAHN/++Y=")</f>
        <v>#VALUE!</v>
      </c>
      <c r="HX36" t="e">
        <f>AND('2015'!N152,"AAAAAHN/++c=")</f>
        <v>#VALUE!</v>
      </c>
      <c r="HY36" t="e">
        <f>AND('2015'!O152,"AAAAAHN/++g=")</f>
        <v>#VALUE!</v>
      </c>
      <c r="HZ36" t="e">
        <f>AND('2015'!P152,"AAAAAHN/++k=")</f>
        <v>#VALUE!</v>
      </c>
      <c r="IA36" t="e">
        <f>AND('2015'!Q152,"AAAAAHN/++o=")</f>
        <v>#VALUE!</v>
      </c>
      <c r="IB36" t="e">
        <f>AND('2015'!R152,"AAAAAHN/++s=")</f>
        <v>#VALUE!</v>
      </c>
      <c r="IC36" t="e">
        <f>AND('2015'!S152,"AAAAAHN/++w=")</f>
        <v>#VALUE!</v>
      </c>
      <c r="ID36" t="e">
        <f>AND('2015'!T152,"AAAAAHN/++0=")</f>
        <v>#VALUE!</v>
      </c>
      <c r="IE36" t="e">
        <f>AND('2015'!U152,"AAAAAHN/++4=")</f>
        <v>#VALUE!</v>
      </c>
      <c r="IF36" t="e">
        <f>AND('2015'!V152,"AAAAAHN/++8=")</f>
        <v>#VALUE!</v>
      </c>
      <c r="IG36" t="e">
        <f>AND('2015'!W152,"AAAAAHN/+/A=")</f>
        <v>#VALUE!</v>
      </c>
      <c r="IH36" t="e">
        <f>AND('2015'!X152,"AAAAAHN/+/E=")</f>
        <v>#VALUE!</v>
      </c>
      <c r="II36" t="e">
        <f>AND('2015'!Y152,"AAAAAHN/+/I=")</f>
        <v>#VALUE!</v>
      </c>
      <c r="IJ36" t="e">
        <f>AND('2015'!Z152,"AAAAAHN/+/M=")</f>
        <v>#VALUE!</v>
      </c>
      <c r="IK36" t="e">
        <f>AND('2015'!AA152,"AAAAAHN/+/Q=")</f>
        <v>#VALUE!</v>
      </c>
      <c r="IL36" t="e">
        <f>AND('2015'!AB152,"AAAAAHN/+/U=")</f>
        <v>#VALUE!</v>
      </c>
      <c r="IM36" t="e">
        <f>AND('2015'!AC152,"AAAAAHN/+/Y=")</f>
        <v>#VALUE!</v>
      </c>
      <c r="IN36" t="e">
        <f>AND('2015'!AD152,"AAAAAHN/+/c=")</f>
        <v>#VALUE!</v>
      </c>
      <c r="IO36" t="e">
        <f>AND('2015'!AE152,"AAAAAHN/+/g=")</f>
        <v>#VALUE!</v>
      </c>
      <c r="IP36" t="e">
        <f>AND('2015'!AF152,"AAAAAHN/+/k=")</f>
        <v>#VALUE!</v>
      </c>
      <c r="IQ36" t="e">
        <f>AND('2015'!AG152,"AAAAAHN/+/o=")</f>
        <v>#VALUE!</v>
      </c>
      <c r="IR36" t="e">
        <f>AND('2015'!AH152,"AAAAAHN/+/s=")</f>
        <v>#VALUE!</v>
      </c>
      <c r="IS36" t="e">
        <f>AND('2015'!AI152,"AAAAAHN/+/w=")</f>
        <v>#VALUE!</v>
      </c>
      <c r="IT36" t="e">
        <f>AND('2015'!AJ152,"AAAAAHN/+/0=")</f>
        <v>#VALUE!</v>
      </c>
      <c r="IU36" t="e">
        <f>AND('2015'!AK152,"AAAAAHN/+/4=")</f>
        <v>#VALUE!</v>
      </c>
      <c r="IV36" t="e">
        <f>AND('2015'!AL152,"AAAAAHN/+/8=")</f>
        <v>#VALUE!</v>
      </c>
    </row>
    <row r="37" spans="1:256" x14ac:dyDescent="0.25">
      <c r="A37" t="e">
        <f>AND('2015'!AM152,"AAAAAH3lPAA=")</f>
        <v>#VALUE!</v>
      </c>
      <c r="B37" t="e">
        <f>AND('2015'!AN152,"AAAAAH3lPAE=")</f>
        <v>#VALUE!</v>
      </c>
      <c r="C37" t="e">
        <f>AND('2015'!AO152,"AAAAAH3lPAI=")</f>
        <v>#VALUE!</v>
      </c>
      <c r="D37" t="e">
        <f>AND('2015'!AP152,"AAAAAH3lPAM=")</f>
        <v>#VALUE!</v>
      </c>
      <c r="E37" t="e">
        <f>AND('2015'!AQ152,"AAAAAH3lPAQ=")</f>
        <v>#VALUE!</v>
      </c>
      <c r="F37" t="e">
        <f>AND('2015'!AR152,"AAAAAH3lPAU=")</f>
        <v>#VALUE!</v>
      </c>
      <c r="G37" t="e">
        <f>AND('2015'!AS152,"AAAAAH3lPAY=")</f>
        <v>#VALUE!</v>
      </c>
      <c r="H37" t="e">
        <f>AND('2015'!AT152,"AAAAAH3lPAc=")</f>
        <v>#VALUE!</v>
      </c>
      <c r="I37" t="e">
        <f>AND('2015'!#REF!,"AAAAAH3lPAg=")</f>
        <v>#REF!</v>
      </c>
      <c r="J37" t="e">
        <f>AND('2015'!AU152,"AAAAAH3lPAk=")</f>
        <v>#VALUE!</v>
      </c>
      <c r="K37" t="e">
        <f>AND('2015'!AV152,"AAAAAH3lPAo=")</f>
        <v>#VALUE!</v>
      </c>
      <c r="L37" t="e">
        <f>AND('2015'!AW152,"AAAAAH3lPAs=")</f>
        <v>#VALUE!</v>
      </c>
      <c r="M37" t="e">
        <f>AND('2015'!AX152,"AAAAAH3lPAw=")</f>
        <v>#VALUE!</v>
      </c>
      <c r="N37" t="e">
        <f>AND('2015'!AY152,"AAAAAH3lPA0=")</f>
        <v>#VALUE!</v>
      </c>
      <c r="O37" t="e">
        <f>AND('2015'!AZ152,"AAAAAH3lPA4=")</f>
        <v>#VALUE!</v>
      </c>
      <c r="P37" t="e">
        <f>AND('2015'!BA152,"AAAAAH3lPA8=")</f>
        <v>#VALUE!</v>
      </c>
      <c r="Q37" t="e">
        <f>AND('2015'!BB152,"AAAAAH3lPBA=")</f>
        <v>#VALUE!</v>
      </c>
      <c r="R37" t="e">
        <f>AND('2015'!BC152,"AAAAAH3lPBE=")</f>
        <v>#VALUE!</v>
      </c>
      <c r="S37" t="e">
        <f>AND('2015'!BD152,"AAAAAH3lPBI=")</f>
        <v>#VALUE!</v>
      </c>
      <c r="T37" t="e">
        <f>AND('2015'!BE152,"AAAAAH3lPBM=")</f>
        <v>#VALUE!</v>
      </c>
      <c r="U37" t="e">
        <f>AND('2015'!BF152,"AAAAAH3lPBQ=")</f>
        <v>#VALUE!</v>
      </c>
      <c r="V37" t="e">
        <f>AND('2015'!BG152,"AAAAAH3lPBU=")</f>
        <v>#VALUE!</v>
      </c>
      <c r="W37" t="e">
        <f>AND('2015'!BH152,"AAAAAH3lPBY=")</f>
        <v>#VALUE!</v>
      </c>
      <c r="X37" t="e">
        <f>AND('2015'!BI152,"AAAAAH3lPBc=")</f>
        <v>#VALUE!</v>
      </c>
      <c r="Y37" t="e">
        <f>AND('2015'!#REF!,"AAAAAH3lPBg=")</f>
        <v>#REF!</v>
      </c>
      <c r="Z37" t="e">
        <f>AND('2015'!BJ152,"AAAAAH3lPBk=")</f>
        <v>#VALUE!</v>
      </c>
      <c r="AA37" t="e">
        <f>AND('2015'!BK152,"AAAAAH3lPBo=")</f>
        <v>#VALUE!</v>
      </c>
      <c r="AB37" t="e">
        <f>AND('2015'!BL152,"AAAAAH3lPBs=")</f>
        <v>#VALUE!</v>
      </c>
      <c r="AC37" t="e">
        <f>AND('2015'!BM152,"AAAAAH3lPBw=")</f>
        <v>#VALUE!</v>
      </c>
      <c r="AD37" t="e">
        <f>AND('2015'!BY152,"AAAAAH3lPB0=")</f>
        <v>#VALUE!</v>
      </c>
      <c r="AE37">
        <f>IF('2015'!153:153,"AAAAAH3lPB4=",0)</f>
        <v>0</v>
      </c>
      <c r="AF37" t="e">
        <f>AND('2015'!A153,"AAAAAH3lPB8=")</f>
        <v>#VALUE!</v>
      </c>
      <c r="AG37" t="e">
        <f>AND('2015'!B153,"AAAAAH3lPCA=")</f>
        <v>#VALUE!</v>
      </c>
      <c r="AH37" t="e">
        <f>AND('2015'!C153,"AAAAAH3lPCE=")</f>
        <v>#VALUE!</v>
      </c>
      <c r="AI37" t="e">
        <f>AND('2015'!D153,"AAAAAH3lPCI=")</f>
        <v>#VALUE!</v>
      </c>
      <c r="AJ37" t="e">
        <f>AND('2015'!E153,"AAAAAH3lPCM=")</f>
        <v>#VALUE!</v>
      </c>
      <c r="AK37" t="e">
        <f>AND('2015'!F153,"AAAAAH3lPCQ=")</f>
        <v>#VALUE!</v>
      </c>
      <c r="AL37" t="e">
        <f>AND('2015'!G153,"AAAAAH3lPCU=")</f>
        <v>#VALUE!</v>
      </c>
      <c r="AM37" t="e">
        <f>AND('2015'!H153,"AAAAAH3lPCY=")</f>
        <v>#VALUE!</v>
      </c>
      <c r="AN37" t="e">
        <f>AND('2015'!I153,"AAAAAH3lPCc=")</f>
        <v>#VALUE!</v>
      </c>
      <c r="AO37" t="e">
        <f>AND('2015'!J153,"AAAAAH3lPCg=")</f>
        <v>#VALUE!</v>
      </c>
      <c r="AP37" t="e">
        <f>AND('2015'!K153,"AAAAAH3lPCk=")</f>
        <v>#VALUE!</v>
      </c>
      <c r="AQ37" t="e">
        <f>AND('2015'!L153,"AAAAAH3lPCo=")</f>
        <v>#VALUE!</v>
      </c>
      <c r="AR37" t="e">
        <f>AND('2015'!M153,"AAAAAH3lPCs=")</f>
        <v>#VALUE!</v>
      </c>
      <c r="AS37" t="e">
        <f>AND('2015'!N153,"AAAAAH3lPCw=")</f>
        <v>#VALUE!</v>
      </c>
      <c r="AT37" t="e">
        <f>AND('2015'!O153,"AAAAAH3lPC0=")</f>
        <v>#VALUE!</v>
      </c>
      <c r="AU37" t="e">
        <f>AND('2015'!P153,"AAAAAH3lPC4=")</f>
        <v>#VALUE!</v>
      </c>
      <c r="AV37" t="e">
        <f>AND('2015'!Q153,"AAAAAH3lPC8=")</f>
        <v>#VALUE!</v>
      </c>
      <c r="AW37" t="e">
        <f>AND('2015'!R153,"AAAAAH3lPDA=")</f>
        <v>#VALUE!</v>
      </c>
      <c r="AX37" t="e">
        <f>AND('2015'!S153,"AAAAAH3lPDE=")</f>
        <v>#VALUE!</v>
      </c>
      <c r="AY37" t="e">
        <f>AND('2015'!T153,"AAAAAH3lPDI=")</f>
        <v>#VALUE!</v>
      </c>
      <c r="AZ37" t="e">
        <f>AND('2015'!U153,"AAAAAH3lPDM=")</f>
        <v>#VALUE!</v>
      </c>
      <c r="BA37" t="e">
        <f>AND('2015'!V153,"AAAAAH3lPDQ=")</f>
        <v>#VALUE!</v>
      </c>
      <c r="BB37" t="e">
        <f>AND('2015'!W153,"AAAAAH3lPDU=")</f>
        <v>#VALUE!</v>
      </c>
      <c r="BC37" t="e">
        <f>AND('2015'!X153,"AAAAAH3lPDY=")</f>
        <v>#VALUE!</v>
      </c>
      <c r="BD37" t="e">
        <f>AND('2015'!Y153,"AAAAAH3lPDc=")</f>
        <v>#VALUE!</v>
      </c>
      <c r="BE37" t="e">
        <f>AND('2015'!Z153,"AAAAAH3lPDg=")</f>
        <v>#VALUE!</v>
      </c>
      <c r="BF37" t="e">
        <f>AND('2015'!AA153,"AAAAAH3lPDk=")</f>
        <v>#VALUE!</v>
      </c>
      <c r="BG37" t="e">
        <f>AND('2015'!AB153,"AAAAAH3lPDo=")</f>
        <v>#VALUE!</v>
      </c>
      <c r="BH37" t="e">
        <f>AND('2015'!AC153,"AAAAAH3lPDs=")</f>
        <v>#VALUE!</v>
      </c>
      <c r="BI37" t="e">
        <f>AND('2015'!AD153,"AAAAAH3lPDw=")</f>
        <v>#VALUE!</v>
      </c>
      <c r="BJ37" t="e">
        <f>AND('2015'!AE153,"AAAAAH3lPD0=")</f>
        <v>#VALUE!</v>
      </c>
      <c r="BK37" t="e">
        <f>AND('2015'!AF153,"AAAAAH3lPD4=")</f>
        <v>#VALUE!</v>
      </c>
      <c r="BL37" t="e">
        <f>AND('2015'!AG153,"AAAAAH3lPD8=")</f>
        <v>#VALUE!</v>
      </c>
      <c r="BM37" t="e">
        <f>AND('2015'!AH153,"AAAAAH3lPEA=")</f>
        <v>#VALUE!</v>
      </c>
      <c r="BN37" t="e">
        <f>AND('2015'!AI153,"AAAAAH3lPEE=")</f>
        <v>#VALUE!</v>
      </c>
      <c r="BO37" t="e">
        <f>AND('2015'!AJ153,"AAAAAH3lPEI=")</f>
        <v>#VALUE!</v>
      </c>
      <c r="BP37" t="e">
        <f>AND('2015'!AK153,"AAAAAH3lPEM=")</f>
        <v>#VALUE!</v>
      </c>
      <c r="BQ37" t="e">
        <f>AND('2015'!AL153,"AAAAAH3lPEQ=")</f>
        <v>#VALUE!</v>
      </c>
      <c r="BR37" t="e">
        <f>AND('2015'!AM153,"AAAAAH3lPEU=")</f>
        <v>#VALUE!</v>
      </c>
      <c r="BS37" t="e">
        <f>AND('2015'!AN153,"AAAAAH3lPEY=")</f>
        <v>#VALUE!</v>
      </c>
      <c r="BT37" t="e">
        <f>AND('2015'!AO153,"AAAAAH3lPEc=")</f>
        <v>#VALUE!</v>
      </c>
      <c r="BU37" t="e">
        <f>AND('2015'!AP153,"AAAAAH3lPEg=")</f>
        <v>#VALUE!</v>
      </c>
      <c r="BV37" t="e">
        <f>AND('2015'!AQ153,"AAAAAH3lPEk=")</f>
        <v>#VALUE!</v>
      </c>
      <c r="BW37" t="e">
        <f>AND('2015'!AR153,"AAAAAH3lPEo=")</f>
        <v>#VALUE!</v>
      </c>
      <c r="BX37" t="e">
        <f>AND('2015'!AS153,"AAAAAH3lPEs=")</f>
        <v>#VALUE!</v>
      </c>
      <c r="BY37" t="e">
        <f>AND('2015'!AT153,"AAAAAH3lPEw=")</f>
        <v>#VALUE!</v>
      </c>
      <c r="BZ37" t="e">
        <f>AND('2015'!#REF!,"AAAAAH3lPE0=")</f>
        <v>#REF!</v>
      </c>
      <c r="CA37" t="e">
        <f>AND('2015'!AU153,"AAAAAH3lPE4=")</f>
        <v>#VALUE!</v>
      </c>
      <c r="CB37" t="e">
        <f>AND('2015'!AV153,"AAAAAH3lPE8=")</f>
        <v>#VALUE!</v>
      </c>
      <c r="CC37" t="e">
        <f>AND('2015'!AW153,"AAAAAH3lPFA=")</f>
        <v>#VALUE!</v>
      </c>
      <c r="CD37" t="e">
        <f>AND('2015'!AX153,"AAAAAH3lPFE=")</f>
        <v>#VALUE!</v>
      </c>
      <c r="CE37" t="e">
        <f>AND('2015'!AY153,"AAAAAH3lPFI=")</f>
        <v>#VALUE!</v>
      </c>
      <c r="CF37" t="e">
        <f>AND('2015'!AZ153,"AAAAAH3lPFM=")</f>
        <v>#VALUE!</v>
      </c>
      <c r="CG37" t="e">
        <f>AND('2015'!BA153,"AAAAAH3lPFQ=")</f>
        <v>#VALUE!</v>
      </c>
      <c r="CH37" t="e">
        <f>AND('2015'!BB153,"AAAAAH3lPFU=")</f>
        <v>#VALUE!</v>
      </c>
      <c r="CI37" t="e">
        <f>AND('2015'!BC153,"AAAAAH3lPFY=")</f>
        <v>#VALUE!</v>
      </c>
      <c r="CJ37" t="e">
        <f>AND('2015'!BD153,"AAAAAH3lPFc=")</f>
        <v>#VALUE!</v>
      </c>
      <c r="CK37" t="e">
        <f>AND('2015'!BE153,"AAAAAH3lPFg=")</f>
        <v>#VALUE!</v>
      </c>
      <c r="CL37" t="e">
        <f>AND('2015'!BF153,"AAAAAH3lPFk=")</f>
        <v>#VALUE!</v>
      </c>
      <c r="CM37" t="e">
        <f>AND('2015'!BG153,"AAAAAH3lPFo=")</f>
        <v>#VALUE!</v>
      </c>
      <c r="CN37" t="e">
        <f>AND('2015'!BH153,"AAAAAH3lPFs=")</f>
        <v>#VALUE!</v>
      </c>
      <c r="CO37" t="e">
        <f>AND('2015'!BI153,"AAAAAH3lPFw=")</f>
        <v>#VALUE!</v>
      </c>
      <c r="CP37" t="e">
        <f>AND('2015'!#REF!,"AAAAAH3lPF0=")</f>
        <v>#REF!</v>
      </c>
      <c r="CQ37" t="e">
        <f>AND('2015'!BJ153,"AAAAAH3lPF4=")</f>
        <v>#VALUE!</v>
      </c>
      <c r="CR37" t="e">
        <f>AND('2015'!BK153,"AAAAAH3lPF8=")</f>
        <v>#VALUE!</v>
      </c>
      <c r="CS37" t="e">
        <f>AND('2015'!BL153,"AAAAAH3lPGA=")</f>
        <v>#VALUE!</v>
      </c>
      <c r="CT37" t="e">
        <f>AND('2015'!BM153,"AAAAAH3lPGE=")</f>
        <v>#VALUE!</v>
      </c>
      <c r="CU37" t="e">
        <f>AND('2015'!BY153,"AAAAAH3lPGI=")</f>
        <v>#VALUE!</v>
      </c>
      <c r="CV37">
        <f>IF('2015'!154:154,"AAAAAH3lPGM=",0)</f>
        <v>0</v>
      </c>
      <c r="CW37" t="e">
        <f>AND('2015'!A154,"AAAAAH3lPGQ=")</f>
        <v>#VALUE!</v>
      </c>
      <c r="CX37" t="e">
        <f>AND('2015'!B154,"AAAAAH3lPGU=")</f>
        <v>#VALUE!</v>
      </c>
      <c r="CY37" t="e">
        <f>AND('2015'!C154,"AAAAAH3lPGY=")</f>
        <v>#VALUE!</v>
      </c>
      <c r="CZ37" t="e">
        <f>AND('2015'!D154,"AAAAAH3lPGc=")</f>
        <v>#VALUE!</v>
      </c>
      <c r="DA37" t="e">
        <f>AND('2015'!E154,"AAAAAH3lPGg=")</f>
        <v>#VALUE!</v>
      </c>
      <c r="DB37" t="e">
        <f>AND('2015'!F154,"AAAAAH3lPGk=")</f>
        <v>#VALUE!</v>
      </c>
      <c r="DC37" t="e">
        <f>AND('2015'!G154,"AAAAAH3lPGo=")</f>
        <v>#VALUE!</v>
      </c>
      <c r="DD37" t="e">
        <f>AND('2015'!H154,"AAAAAH3lPGs=")</f>
        <v>#VALUE!</v>
      </c>
      <c r="DE37" t="e">
        <f>AND('2015'!I154,"AAAAAH3lPGw=")</f>
        <v>#VALUE!</v>
      </c>
      <c r="DF37" t="e">
        <f>AND('2015'!J154,"AAAAAH3lPG0=")</f>
        <v>#VALUE!</v>
      </c>
      <c r="DG37" t="e">
        <f>AND('2015'!K154,"AAAAAH3lPG4=")</f>
        <v>#VALUE!</v>
      </c>
      <c r="DH37" t="e">
        <f>AND('2015'!L154,"AAAAAH3lPG8=")</f>
        <v>#VALUE!</v>
      </c>
      <c r="DI37" t="e">
        <f>AND('2015'!M154,"AAAAAH3lPHA=")</f>
        <v>#VALUE!</v>
      </c>
      <c r="DJ37" t="e">
        <f>AND('2015'!N154,"AAAAAH3lPHE=")</f>
        <v>#VALUE!</v>
      </c>
      <c r="DK37" t="e">
        <f>AND('2015'!O154,"AAAAAH3lPHI=")</f>
        <v>#VALUE!</v>
      </c>
      <c r="DL37" t="e">
        <f>AND('2015'!P154,"AAAAAH3lPHM=")</f>
        <v>#VALUE!</v>
      </c>
      <c r="DM37" t="e">
        <f>AND('2015'!Q154,"AAAAAH3lPHQ=")</f>
        <v>#VALUE!</v>
      </c>
      <c r="DN37" t="e">
        <f>AND('2015'!R154,"AAAAAH3lPHU=")</f>
        <v>#VALUE!</v>
      </c>
      <c r="DO37" t="e">
        <f>AND('2015'!S154,"AAAAAH3lPHY=")</f>
        <v>#VALUE!</v>
      </c>
      <c r="DP37" t="e">
        <f>AND('2015'!T154,"AAAAAH3lPHc=")</f>
        <v>#VALUE!</v>
      </c>
      <c r="DQ37" t="e">
        <f>AND('2015'!U154,"AAAAAH3lPHg=")</f>
        <v>#VALUE!</v>
      </c>
      <c r="DR37" t="e">
        <f>AND('2015'!V154,"AAAAAH3lPHk=")</f>
        <v>#VALUE!</v>
      </c>
      <c r="DS37" t="e">
        <f>AND('2015'!W154,"AAAAAH3lPHo=")</f>
        <v>#VALUE!</v>
      </c>
      <c r="DT37" t="e">
        <f>AND('2015'!X154,"AAAAAH3lPHs=")</f>
        <v>#VALUE!</v>
      </c>
      <c r="DU37" t="e">
        <f>AND('2015'!Y154,"AAAAAH3lPHw=")</f>
        <v>#VALUE!</v>
      </c>
      <c r="DV37" t="e">
        <f>AND('2015'!Z154,"AAAAAH3lPH0=")</f>
        <v>#VALUE!</v>
      </c>
      <c r="DW37" t="e">
        <f>AND('2015'!AA154,"AAAAAH3lPH4=")</f>
        <v>#VALUE!</v>
      </c>
      <c r="DX37" t="e">
        <f>AND('2015'!AB154,"AAAAAH3lPH8=")</f>
        <v>#VALUE!</v>
      </c>
      <c r="DY37" t="e">
        <f>AND('2015'!AC154,"AAAAAH3lPIA=")</f>
        <v>#VALUE!</v>
      </c>
      <c r="DZ37" t="e">
        <f>AND('2015'!AD154,"AAAAAH3lPIE=")</f>
        <v>#VALUE!</v>
      </c>
      <c r="EA37" t="e">
        <f>AND('2015'!AE154,"AAAAAH3lPII=")</f>
        <v>#VALUE!</v>
      </c>
      <c r="EB37" t="e">
        <f>AND('2015'!AF154,"AAAAAH3lPIM=")</f>
        <v>#VALUE!</v>
      </c>
      <c r="EC37" t="e">
        <f>AND('2015'!AG154,"AAAAAH3lPIQ=")</f>
        <v>#VALUE!</v>
      </c>
      <c r="ED37" t="e">
        <f>AND('2015'!AH154,"AAAAAH3lPIU=")</f>
        <v>#VALUE!</v>
      </c>
      <c r="EE37" t="e">
        <f>AND('2015'!AI154,"AAAAAH3lPIY=")</f>
        <v>#VALUE!</v>
      </c>
      <c r="EF37" t="e">
        <f>AND('2015'!AJ154,"AAAAAH3lPIc=")</f>
        <v>#VALUE!</v>
      </c>
      <c r="EG37" t="e">
        <f>AND('2015'!AK154,"AAAAAH3lPIg=")</f>
        <v>#VALUE!</v>
      </c>
      <c r="EH37" t="e">
        <f>AND('2015'!AL154,"AAAAAH3lPIk=")</f>
        <v>#VALUE!</v>
      </c>
      <c r="EI37" t="e">
        <f>AND('2015'!AM154,"AAAAAH3lPIo=")</f>
        <v>#VALUE!</v>
      </c>
      <c r="EJ37" t="e">
        <f>AND('2015'!AN154,"AAAAAH3lPIs=")</f>
        <v>#VALUE!</v>
      </c>
      <c r="EK37" t="e">
        <f>AND('2015'!AO154,"AAAAAH3lPIw=")</f>
        <v>#VALUE!</v>
      </c>
      <c r="EL37" t="e">
        <f>AND('2015'!AP154,"AAAAAH3lPI0=")</f>
        <v>#VALUE!</v>
      </c>
      <c r="EM37" t="e">
        <f>AND('2015'!AQ154,"AAAAAH3lPI4=")</f>
        <v>#VALUE!</v>
      </c>
      <c r="EN37" t="e">
        <f>AND('2015'!AR154,"AAAAAH3lPI8=")</f>
        <v>#VALUE!</v>
      </c>
      <c r="EO37" t="e">
        <f>AND('2015'!AS154,"AAAAAH3lPJA=")</f>
        <v>#VALUE!</v>
      </c>
      <c r="EP37" t="e">
        <f>AND('2015'!AT154,"AAAAAH3lPJE=")</f>
        <v>#VALUE!</v>
      </c>
      <c r="EQ37" t="e">
        <f>AND('2015'!#REF!,"AAAAAH3lPJI=")</f>
        <v>#REF!</v>
      </c>
      <c r="ER37" t="e">
        <f>AND('2015'!AU154,"AAAAAH3lPJM=")</f>
        <v>#VALUE!</v>
      </c>
      <c r="ES37" t="e">
        <f>AND('2015'!AV154,"AAAAAH3lPJQ=")</f>
        <v>#VALUE!</v>
      </c>
      <c r="ET37" t="e">
        <f>AND('2015'!AW154,"AAAAAH3lPJU=")</f>
        <v>#VALUE!</v>
      </c>
      <c r="EU37" t="e">
        <f>AND('2015'!AX154,"AAAAAH3lPJY=")</f>
        <v>#VALUE!</v>
      </c>
      <c r="EV37" t="e">
        <f>AND('2015'!AY154,"AAAAAH3lPJc=")</f>
        <v>#VALUE!</v>
      </c>
      <c r="EW37" t="e">
        <f>AND('2015'!AZ154,"AAAAAH3lPJg=")</f>
        <v>#VALUE!</v>
      </c>
      <c r="EX37" t="e">
        <f>AND('2015'!BA154,"AAAAAH3lPJk=")</f>
        <v>#VALUE!</v>
      </c>
      <c r="EY37" t="e">
        <f>AND('2015'!BB154,"AAAAAH3lPJo=")</f>
        <v>#VALUE!</v>
      </c>
      <c r="EZ37" t="e">
        <f>AND('2015'!BC154,"AAAAAH3lPJs=")</f>
        <v>#VALUE!</v>
      </c>
      <c r="FA37" t="e">
        <f>AND('2015'!BD154,"AAAAAH3lPJw=")</f>
        <v>#VALUE!</v>
      </c>
      <c r="FB37" t="e">
        <f>AND('2015'!BE154,"AAAAAH3lPJ0=")</f>
        <v>#VALUE!</v>
      </c>
      <c r="FC37" t="e">
        <f>AND('2015'!BF154,"AAAAAH3lPJ4=")</f>
        <v>#VALUE!</v>
      </c>
      <c r="FD37" t="e">
        <f>AND('2015'!BG154,"AAAAAH3lPJ8=")</f>
        <v>#VALUE!</v>
      </c>
      <c r="FE37" t="e">
        <f>AND('2015'!BH154,"AAAAAH3lPKA=")</f>
        <v>#VALUE!</v>
      </c>
      <c r="FF37" t="e">
        <f>AND('2015'!BI154,"AAAAAH3lPKE=")</f>
        <v>#VALUE!</v>
      </c>
      <c r="FG37" t="e">
        <f>AND('2015'!#REF!,"AAAAAH3lPKI=")</f>
        <v>#REF!</v>
      </c>
      <c r="FH37" t="e">
        <f>AND('2015'!BJ154,"AAAAAH3lPKM=")</f>
        <v>#VALUE!</v>
      </c>
      <c r="FI37" t="e">
        <f>AND('2015'!BK154,"AAAAAH3lPKQ=")</f>
        <v>#VALUE!</v>
      </c>
      <c r="FJ37" t="e">
        <f>AND('2015'!BL154,"AAAAAH3lPKU=")</f>
        <v>#VALUE!</v>
      </c>
      <c r="FK37" t="e">
        <f>AND('2015'!BM154,"AAAAAH3lPKY=")</f>
        <v>#VALUE!</v>
      </c>
      <c r="FL37" t="e">
        <f>AND('2015'!BY154,"AAAAAH3lPKc=")</f>
        <v>#VALUE!</v>
      </c>
      <c r="FM37">
        <f>IF('2015'!155:155,"AAAAAH3lPKg=",0)</f>
        <v>0</v>
      </c>
      <c r="FN37" t="e">
        <f>AND('2015'!A155,"AAAAAH3lPKk=")</f>
        <v>#VALUE!</v>
      </c>
      <c r="FO37" t="e">
        <f>AND('2015'!B155,"AAAAAH3lPKo=")</f>
        <v>#VALUE!</v>
      </c>
      <c r="FP37" t="e">
        <f>AND('2015'!C155,"AAAAAH3lPKs=")</f>
        <v>#VALUE!</v>
      </c>
      <c r="FQ37" t="e">
        <f>AND('2015'!D155,"AAAAAH3lPKw=")</f>
        <v>#VALUE!</v>
      </c>
      <c r="FR37" t="e">
        <f>AND('2015'!E155,"AAAAAH3lPK0=")</f>
        <v>#VALUE!</v>
      </c>
      <c r="FS37" t="e">
        <f>AND('2015'!F155,"AAAAAH3lPK4=")</f>
        <v>#VALUE!</v>
      </c>
      <c r="FT37" t="e">
        <f>AND('2015'!G155,"AAAAAH3lPK8=")</f>
        <v>#VALUE!</v>
      </c>
      <c r="FU37" t="e">
        <f>AND('2015'!H155,"AAAAAH3lPLA=")</f>
        <v>#VALUE!</v>
      </c>
      <c r="FV37" t="e">
        <f>AND('2015'!I155,"AAAAAH3lPLE=")</f>
        <v>#VALUE!</v>
      </c>
      <c r="FW37" t="e">
        <f>AND('2015'!J155,"AAAAAH3lPLI=")</f>
        <v>#VALUE!</v>
      </c>
      <c r="FX37" t="e">
        <f>AND('2015'!K155,"AAAAAH3lPLM=")</f>
        <v>#VALUE!</v>
      </c>
      <c r="FY37" t="e">
        <f>AND('2015'!L155,"AAAAAH3lPLQ=")</f>
        <v>#VALUE!</v>
      </c>
      <c r="FZ37" t="e">
        <f>AND('2015'!M155,"AAAAAH3lPLU=")</f>
        <v>#VALUE!</v>
      </c>
      <c r="GA37" t="e">
        <f>AND('2015'!N155,"AAAAAH3lPLY=")</f>
        <v>#VALUE!</v>
      </c>
      <c r="GB37" t="e">
        <f>AND('2015'!O155,"AAAAAH3lPLc=")</f>
        <v>#VALUE!</v>
      </c>
      <c r="GC37" t="e">
        <f>AND('2015'!P155,"AAAAAH3lPLg=")</f>
        <v>#VALUE!</v>
      </c>
      <c r="GD37" t="e">
        <f>AND('2015'!Q155,"AAAAAH3lPLk=")</f>
        <v>#VALUE!</v>
      </c>
      <c r="GE37" t="e">
        <f>AND('2015'!R155,"AAAAAH3lPLo=")</f>
        <v>#VALUE!</v>
      </c>
      <c r="GF37" t="e">
        <f>AND('2015'!S155,"AAAAAH3lPLs=")</f>
        <v>#VALUE!</v>
      </c>
      <c r="GG37" t="e">
        <f>AND('2015'!T155,"AAAAAH3lPLw=")</f>
        <v>#VALUE!</v>
      </c>
      <c r="GH37" t="e">
        <f>AND('2015'!U155,"AAAAAH3lPL0=")</f>
        <v>#VALUE!</v>
      </c>
      <c r="GI37" t="e">
        <f>AND('2015'!V155,"AAAAAH3lPL4=")</f>
        <v>#VALUE!</v>
      </c>
      <c r="GJ37" t="e">
        <f>AND('2015'!W155,"AAAAAH3lPL8=")</f>
        <v>#VALUE!</v>
      </c>
      <c r="GK37" t="e">
        <f>AND('2015'!X155,"AAAAAH3lPMA=")</f>
        <v>#VALUE!</v>
      </c>
      <c r="GL37" t="e">
        <f>AND('2015'!Y155,"AAAAAH3lPME=")</f>
        <v>#VALUE!</v>
      </c>
      <c r="GM37" t="e">
        <f>AND('2015'!Z155,"AAAAAH3lPMI=")</f>
        <v>#VALUE!</v>
      </c>
      <c r="GN37" t="e">
        <f>AND('2015'!AA155,"AAAAAH3lPMM=")</f>
        <v>#VALUE!</v>
      </c>
      <c r="GO37" t="e">
        <f>AND('2015'!AB155,"AAAAAH3lPMQ=")</f>
        <v>#VALUE!</v>
      </c>
      <c r="GP37" t="e">
        <f>AND('2015'!AC155,"AAAAAH3lPMU=")</f>
        <v>#VALUE!</v>
      </c>
      <c r="GQ37" t="e">
        <f>AND('2015'!AD155,"AAAAAH3lPMY=")</f>
        <v>#VALUE!</v>
      </c>
      <c r="GR37" t="e">
        <f>AND('2015'!AE155,"AAAAAH3lPMc=")</f>
        <v>#VALUE!</v>
      </c>
      <c r="GS37" t="e">
        <f>AND('2015'!AF155,"AAAAAH3lPMg=")</f>
        <v>#VALUE!</v>
      </c>
      <c r="GT37" t="e">
        <f>AND('2015'!AG155,"AAAAAH3lPMk=")</f>
        <v>#VALUE!</v>
      </c>
      <c r="GU37" t="e">
        <f>AND('2015'!AH155,"AAAAAH3lPMo=")</f>
        <v>#VALUE!</v>
      </c>
      <c r="GV37" t="e">
        <f>AND('2015'!AI155,"AAAAAH3lPMs=")</f>
        <v>#VALUE!</v>
      </c>
      <c r="GW37" t="e">
        <f>AND('2015'!AJ155,"AAAAAH3lPMw=")</f>
        <v>#VALUE!</v>
      </c>
      <c r="GX37" t="e">
        <f>AND('2015'!AK155,"AAAAAH3lPM0=")</f>
        <v>#VALUE!</v>
      </c>
      <c r="GY37" t="e">
        <f>AND('2015'!AL155,"AAAAAH3lPM4=")</f>
        <v>#VALUE!</v>
      </c>
      <c r="GZ37" t="e">
        <f>AND('2015'!AM155,"AAAAAH3lPM8=")</f>
        <v>#VALUE!</v>
      </c>
      <c r="HA37" t="e">
        <f>AND('2015'!AN155,"AAAAAH3lPNA=")</f>
        <v>#VALUE!</v>
      </c>
      <c r="HB37" t="e">
        <f>AND('2015'!AO155,"AAAAAH3lPNE=")</f>
        <v>#VALUE!</v>
      </c>
      <c r="HC37" t="e">
        <f>AND('2015'!AP155,"AAAAAH3lPNI=")</f>
        <v>#VALUE!</v>
      </c>
      <c r="HD37" t="e">
        <f>AND('2015'!AQ155,"AAAAAH3lPNM=")</f>
        <v>#VALUE!</v>
      </c>
      <c r="HE37" t="e">
        <f>AND('2015'!AR155,"AAAAAH3lPNQ=")</f>
        <v>#VALUE!</v>
      </c>
      <c r="HF37" t="e">
        <f>AND('2015'!AS155,"AAAAAH3lPNU=")</f>
        <v>#VALUE!</v>
      </c>
      <c r="HG37" t="e">
        <f>AND('2015'!AT155,"AAAAAH3lPNY=")</f>
        <v>#VALUE!</v>
      </c>
      <c r="HH37" t="e">
        <f>AND('2015'!#REF!,"AAAAAH3lPNc=")</f>
        <v>#REF!</v>
      </c>
      <c r="HI37" t="e">
        <f>AND('2015'!AU155,"AAAAAH3lPNg=")</f>
        <v>#VALUE!</v>
      </c>
      <c r="HJ37" t="e">
        <f>AND('2015'!AV155,"AAAAAH3lPNk=")</f>
        <v>#VALUE!</v>
      </c>
      <c r="HK37" t="e">
        <f>AND('2015'!AW155,"AAAAAH3lPNo=")</f>
        <v>#VALUE!</v>
      </c>
      <c r="HL37" t="e">
        <f>AND('2015'!AX155,"AAAAAH3lPNs=")</f>
        <v>#VALUE!</v>
      </c>
      <c r="HM37" t="e">
        <f>AND('2015'!AY155,"AAAAAH3lPNw=")</f>
        <v>#VALUE!</v>
      </c>
      <c r="HN37" t="e">
        <f>AND('2015'!AZ155,"AAAAAH3lPN0=")</f>
        <v>#VALUE!</v>
      </c>
      <c r="HO37" t="e">
        <f>AND('2015'!BA155,"AAAAAH3lPN4=")</f>
        <v>#VALUE!</v>
      </c>
      <c r="HP37" t="e">
        <f>AND('2015'!BB155,"AAAAAH3lPN8=")</f>
        <v>#VALUE!</v>
      </c>
      <c r="HQ37" t="e">
        <f>AND('2015'!BC155,"AAAAAH3lPOA=")</f>
        <v>#VALUE!</v>
      </c>
      <c r="HR37" t="e">
        <f>AND('2015'!BD155,"AAAAAH3lPOE=")</f>
        <v>#VALUE!</v>
      </c>
      <c r="HS37" t="e">
        <f>AND('2015'!BE155,"AAAAAH3lPOI=")</f>
        <v>#VALUE!</v>
      </c>
      <c r="HT37" t="e">
        <f>AND('2015'!BF155,"AAAAAH3lPOM=")</f>
        <v>#VALUE!</v>
      </c>
      <c r="HU37" t="e">
        <f>AND('2015'!BG155,"AAAAAH3lPOQ=")</f>
        <v>#VALUE!</v>
      </c>
      <c r="HV37" t="e">
        <f>AND('2015'!BH155,"AAAAAH3lPOU=")</f>
        <v>#VALUE!</v>
      </c>
      <c r="HW37" t="e">
        <f>AND('2015'!BI155,"AAAAAH3lPOY=")</f>
        <v>#VALUE!</v>
      </c>
      <c r="HX37" t="e">
        <f>AND('2015'!#REF!,"AAAAAH3lPOc=")</f>
        <v>#REF!</v>
      </c>
      <c r="HY37" t="e">
        <f>AND('2015'!BJ155,"AAAAAH3lPOg=")</f>
        <v>#VALUE!</v>
      </c>
      <c r="HZ37" t="e">
        <f>AND('2015'!BK155,"AAAAAH3lPOk=")</f>
        <v>#VALUE!</v>
      </c>
      <c r="IA37" t="e">
        <f>AND('2015'!BL155,"AAAAAH3lPOo=")</f>
        <v>#VALUE!</v>
      </c>
      <c r="IB37" t="e">
        <f>AND('2015'!BM155,"AAAAAH3lPOs=")</f>
        <v>#VALUE!</v>
      </c>
      <c r="IC37" t="e">
        <f>AND('2015'!BY155,"AAAAAH3lPOw=")</f>
        <v>#VALUE!</v>
      </c>
      <c r="ID37">
        <f>IF('2015'!156:156,"AAAAAH3lPO0=",0)</f>
        <v>0</v>
      </c>
      <c r="IE37" t="e">
        <f>AND('2015'!A156,"AAAAAH3lPO4=")</f>
        <v>#VALUE!</v>
      </c>
      <c r="IF37" t="e">
        <f>AND('2015'!B156,"AAAAAH3lPO8=")</f>
        <v>#VALUE!</v>
      </c>
      <c r="IG37" t="e">
        <f>AND('2015'!C156,"AAAAAH3lPPA=")</f>
        <v>#VALUE!</v>
      </c>
      <c r="IH37" t="e">
        <f>AND('2015'!D156,"AAAAAH3lPPE=")</f>
        <v>#VALUE!</v>
      </c>
      <c r="II37" t="e">
        <f>AND('2015'!E156,"AAAAAH3lPPI=")</f>
        <v>#VALUE!</v>
      </c>
      <c r="IJ37" t="e">
        <f>AND('2015'!F156,"AAAAAH3lPPM=")</f>
        <v>#VALUE!</v>
      </c>
      <c r="IK37" t="e">
        <f>AND('2015'!G156,"AAAAAH3lPPQ=")</f>
        <v>#VALUE!</v>
      </c>
      <c r="IL37" t="e">
        <f>AND('2015'!H156,"AAAAAH3lPPU=")</f>
        <v>#VALUE!</v>
      </c>
      <c r="IM37" t="e">
        <f>AND('2015'!I156,"AAAAAH3lPPY=")</f>
        <v>#VALUE!</v>
      </c>
      <c r="IN37" t="e">
        <f>AND('2015'!J156,"AAAAAH3lPPc=")</f>
        <v>#VALUE!</v>
      </c>
      <c r="IO37" t="e">
        <f>AND('2015'!K156,"AAAAAH3lPPg=")</f>
        <v>#VALUE!</v>
      </c>
      <c r="IP37" t="e">
        <f>AND('2015'!L156,"AAAAAH3lPPk=")</f>
        <v>#VALUE!</v>
      </c>
      <c r="IQ37" t="e">
        <f>AND('2015'!M156,"AAAAAH3lPPo=")</f>
        <v>#VALUE!</v>
      </c>
      <c r="IR37" t="e">
        <f>AND('2015'!N156,"AAAAAH3lPPs=")</f>
        <v>#VALUE!</v>
      </c>
      <c r="IS37" t="e">
        <f>AND('2015'!O156,"AAAAAH3lPPw=")</f>
        <v>#VALUE!</v>
      </c>
      <c r="IT37" t="e">
        <f>AND('2015'!P156,"AAAAAH3lPP0=")</f>
        <v>#VALUE!</v>
      </c>
      <c r="IU37" t="e">
        <f>AND('2015'!Q156,"AAAAAH3lPP4=")</f>
        <v>#VALUE!</v>
      </c>
      <c r="IV37" t="e">
        <f>AND('2015'!R156,"AAAAAH3lPP8=")</f>
        <v>#VALUE!</v>
      </c>
    </row>
    <row r="38" spans="1:256" x14ac:dyDescent="0.25">
      <c r="A38" t="e">
        <f>AND('2015'!S156,"AAAAAF//fwA=")</f>
        <v>#VALUE!</v>
      </c>
      <c r="B38" t="e">
        <f>AND('2015'!T156,"AAAAAF//fwE=")</f>
        <v>#VALUE!</v>
      </c>
      <c r="C38" t="e">
        <f>AND('2015'!U156,"AAAAAF//fwI=")</f>
        <v>#VALUE!</v>
      </c>
      <c r="D38" t="e">
        <f>AND('2015'!V156,"AAAAAF//fwM=")</f>
        <v>#VALUE!</v>
      </c>
      <c r="E38" t="e">
        <f>AND('2015'!W156,"AAAAAF//fwQ=")</f>
        <v>#VALUE!</v>
      </c>
      <c r="F38" t="e">
        <f>AND('2015'!X156,"AAAAAF//fwU=")</f>
        <v>#VALUE!</v>
      </c>
      <c r="G38" t="e">
        <f>AND('2015'!Y156,"AAAAAF//fwY=")</f>
        <v>#VALUE!</v>
      </c>
      <c r="H38" t="e">
        <f>AND('2015'!Z156,"AAAAAF//fwc=")</f>
        <v>#VALUE!</v>
      </c>
      <c r="I38" t="e">
        <f>AND('2015'!AA156,"AAAAAF//fwg=")</f>
        <v>#VALUE!</v>
      </c>
      <c r="J38" t="e">
        <f>AND('2015'!AB156,"AAAAAF//fwk=")</f>
        <v>#VALUE!</v>
      </c>
      <c r="K38" t="e">
        <f>AND('2015'!AC156,"AAAAAF//fwo=")</f>
        <v>#VALUE!</v>
      </c>
      <c r="L38" t="e">
        <f>AND('2015'!AD156,"AAAAAF//fws=")</f>
        <v>#VALUE!</v>
      </c>
      <c r="M38" t="e">
        <f>AND('2015'!AE156,"AAAAAF//fww=")</f>
        <v>#VALUE!</v>
      </c>
      <c r="N38" t="e">
        <f>AND('2015'!AF156,"AAAAAF//fw0=")</f>
        <v>#VALUE!</v>
      </c>
      <c r="O38" t="e">
        <f>AND('2015'!AG156,"AAAAAF//fw4=")</f>
        <v>#VALUE!</v>
      </c>
      <c r="P38" t="e">
        <f>AND('2015'!AH156,"AAAAAF//fw8=")</f>
        <v>#VALUE!</v>
      </c>
      <c r="Q38" t="e">
        <f>AND('2015'!AI156,"AAAAAF//fxA=")</f>
        <v>#VALUE!</v>
      </c>
      <c r="R38" t="e">
        <f>AND('2015'!AJ156,"AAAAAF//fxE=")</f>
        <v>#VALUE!</v>
      </c>
      <c r="S38" t="e">
        <f>AND('2015'!AK156,"AAAAAF//fxI=")</f>
        <v>#VALUE!</v>
      </c>
      <c r="T38" t="e">
        <f>AND('2015'!AL156,"AAAAAF//fxM=")</f>
        <v>#VALUE!</v>
      </c>
      <c r="U38" t="e">
        <f>AND('2015'!AM156,"AAAAAF//fxQ=")</f>
        <v>#VALUE!</v>
      </c>
      <c r="V38" t="e">
        <f>AND('2015'!AN156,"AAAAAF//fxU=")</f>
        <v>#VALUE!</v>
      </c>
      <c r="W38" t="e">
        <f>AND('2015'!AO156,"AAAAAF//fxY=")</f>
        <v>#VALUE!</v>
      </c>
      <c r="X38" t="e">
        <f>AND('2015'!AP156,"AAAAAF//fxc=")</f>
        <v>#VALUE!</v>
      </c>
      <c r="Y38" t="e">
        <f>AND('2015'!AQ156,"AAAAAF//fxg=")</f>
        <v>#VALUE!</v>
      </c>
      <c r="Z38" t="e">
        <f>AND('2015'!AR156,"AAAAAF//fxk=")</f>
        <v>#VALUE!</v>
      </c>
      <c r="AA38" t="e">
        <f>AND('2015'!AS156,"AAAAAF//fxo=")</f>
        <v>#VALUE!</v>
      </c>
      <c r="AB38" t="e">
        <f>AND('2015'!AT156,"AAAAAF//fxs=")</f>
        <v>#VALUE!</v>
      </c>
      <c r="AC38" t="e">
        <f>AND('2015'!#REF!,"AAAAAF//fxw=")</f>
        <v>#REF!</v>
      </c>
      <c r="AD38" t="e">
        <f>AND('2015'!AU156,"AAAAAF//fx0=")</f>
        <v>#VALUE!</v>
      </c>
      <c r="AE38" t="e">
        <f>AND('2015'!AV156,"AAAAAF//fx4=")</f>
        <v>#VALUE!</v>
      </c>
      <c r="AF38" t="e">
        <f>AND('2015'!AW156,"AAAAAF//fx8=")</f>
        <v>#VALUE!</v>
      </c>
      <c r="AG38" t="e">
        <f>AND('2015'!AX156,"AAAAAF//fyA=")</f>
        <v>#VALUE!</v>
      </c>
      <c r="AH38" t="e">
        <f>AND('2015'!AY156,"AAAAAF//fyE=")</f>
        <v>#VALUE!</v>
      </c>
      <c r="AI38" t="e">
        <f>AND('2015'!AZ156,"AAAAAF//fyI=")</f>
        <v>#VALUE!</v>
      </c>
      <c r="AJ38" t="e">
        <f>AND('2015'!BA156,"AAAAAF//fyM=")</f>
        <v>#VALUE!</v>
      </c>
      <c r="AK38" t="e">
        <f>AND('2015'!BB156,"AAAAAF//fyQ=")</f>
        <v>#VALUE!</v>
      </c>
      <c r="AL38" t="e">
        <f>AND('2015'!BC156,"AAAAAF//fyU=")</f>
        <v>#VALUE!</v>
      </c>
      <c r="AM38" t="e">
        <f>AND('2015'!BD156,"AAAAAF//fyY=")</f>
        <v>#VALUE!</v>
      </c>
      <c r="AN38" t="e">
        <f>AND('2015'!BE156,"AAAAAF//fyc=")</f>
        <v>#VALUE!</v>
      </c>
      <c r="AO38" t="e">
        <f>AND('2015'!BF156,"AAAAAF//fyg=")</f>
        <v>#VALUE!</v>
      </c>
      <c r="AP38" t="e">
        <f>AND('2015'!BG156,"AAAAAF//fyk=")</f>
        <v>#VALUE!</v>
      </c>
      <c r="AQ38" t="e">
        <f>AND('2015'!BH156,"AAAAAF//fyo=")</f>
        <v>#VALUE!</v>
      </c>
      <c r="AR38" t="e">
        <f>AND('2015'!BI156,"AAAAAF//fys=")</f>
        <v>#VALUE!</v>
      </c>
      <c r="AS38" t="e">
        <f>AND('2015'!#REF!,"AAAAAF//fyw=")</f>
        <v>#REF!</v>
      </c>
      <c r="AT38" t="e">
        <f>AND('2015'!BJ156,"AAAAAF//fy0=")</f>
        <v>#VALUE!</v>
      </c>
      <c r="AU38" t="e">
        <f>AND('2015'!BK156,"AAAAAF//fy4=")</f>
        <v>#VALUE!</v>
      </c>
      <c r="AV38" t="e">
        <f>AND('2015'!BL156,"AAAAAF//fy8=")</f>
        <v>#VALUE!</v>
      </c>
      <c r="AW38" t="e">
        <f>AND('2015'!BM156,"AAAAAF//fzA=")</f>
        <v>#VALUE!</v>
      </c>
      <c r="AX38" t="e">
        <f>AND('2015'!BY156,"AAAAAF//fzE=")</f>
        <v>#VALUE!</v>
      </c>
      <c r="AY38">
        <f>IF('2015'!157:157,"AAAAAF//fzI=",0)</f>
        <v>0</v>
      </c>
      <c r="AZ38" t="e">
        <f>AND('2015'!A157,"AAAAAF//fzM=")</f>
        <v>#VALUE!</v>
      </c>
      <c r="BA38" t="e">
        <f>AND('2015'!B157,"AAAAAF//fzQ=")</f>
        <v>#VALUE!</v>
      </c>
      <c r="BB38" t="e">
        <f>AND('2015'!C157,"AAAAAF//fzU=")</f>
        <v>#VALUE!</v>
      </c>
      <c r="BC38" t="e">
        <f>AND('2015'!D157,"AAAAAF//fzY=")</f>
        <v>#VALUE!</v>
      </c>
      <c r="BD38" t="e">
        <f>AND('2015'!E157,"AAAAAF//fzc=")</f>
        <v>#VALUE!</v>
      </c>
      <c r="BE38" t="e">
        <f>AND('2015'!F157,"AAAAAF//fzg=")</f>
        <v>#VALUE!</v>
      </c>
      <c r="BF38" t="e">
        <f>AND('2015'!G157,"AAAAAF//fzk=")</f>
        <v>#VALUE!</v>
      </c>
      <c r="BG38" t="e">
        <f>AND('2015'!H157,"AAAAAF//fzo=")</f>
        <v>#VALUE!</v>
      </c>
      <c r="BH38" t="e">
        <f>AND('2015'!I157,"AAAAAF//fzs=")</f>
        <v>#VALUE!</v>
      </c>
      <c r="BI38" t="e">
        <f>AND('2015'!J157,"AAAAAF//fzw=")</f>
        <v>#VALUE!</v>
      </c>
      <c r="BJ38" t="e">
        <f>AND('2015'!K157,"AAAAAF//fz0=")</f>
        <v>#VALUE!</v>
      </c>
      <c r="BK38" t="e">
        <f>AND('2015'!L157,"AAAAAF//fz4=")</f>
        <v>#VALUE!</v>
      </c>
      <c r="BL38" t="e">
        <f>AND('2015'!M157,"AAAAAF//fz8=")</f>
        <v>#VALUE!</v>
      </c>
      <c r="BM38" t="e">
        <f>AND('2015'!N157,"AAAAAF//f0A=")</f>
        <v>#VALUE!</v>
      </c>
      <c r="BN38" t="e">
        <f>AND('2015'!O157,"AAAAAF//f0E=")</f>
        <v>#VALUE!</v>
      </c>
      <c r="BO38" t="e">
        <f>AND('2015'!P157,"AAAAAF//f0I=")</f>
        <v>#VALUE!</v>
      </c>
      <c r="BP38" t="e">
        <f>AND('2015'!Q157,"AAAAAF//f0M=")</f>
        <v>#VALUE!</v>
      </c>
      <c r="BQ38" t="e">
        <f>AND('2015'!R157,"AAAAAF//f0Q=")</f>
        <v>#VALUE!</v>
      </c>
      <c r="BR38" t="e">
        <f>AND('2015'!S157,"AAAAAF//f0U=")</f>
        <v>#VALUE!</v>
      </c>
      <c r="BS38" t="e">
        <f>AND('2015'!T157,"AAAAAF//f0Y=")</f>
        <v>#VALUE!</v>
      </c>
      <c r="BT38" t="e">
        <f>AND('2015'!U157,"AAAAAF//f0c=")</f>
        <v>#VALUE!</v>
      </c>
      <c r="BU38" t="e">
        <f>AND('2015'!V157,"AAAAAF//f0g=")</f>
        <v>#VALUE!</v>
      </c>
      <c r="BV38" t="e">
        <f>AND('2015'!W157,"AAAAAF//f0k=")</f>
        <v>#VALUE!</v>
      </c>
      <c r="BW38" t="e">
        <f>AND('2015'!X157,"AAAAAF//f0o=")</f>
        <v>#VALUE!</v>
      </c>
      <c r="BX38" t="e">
        <f>AND('2015'!Y157,"AAAAAF//f0s=")</f>
        <v>#VALUE!</v>
      </c>
      <c r="BY38" t="e">
        <f>AND('2015'!Z157,"AAAAAF//f0w=")</f>
        <v>#VALUE!</v>
      </c>
      <c r="BZ38" t="e">
        <f>AND('2015'!AA157,"AAAAAF//f00=")</f>
        <v>#VALUE!</v>
      </c>
      <c r="CA38" t="e">
        <f>AND('2015'!AB157,"AAAAAF//f04=")</f>
        <v>#VALUE!</v>
      </c>
      <c r="CB38" t="e">
        <f>AND('2015'!AC157,"AAAAAF//f08=")</f>
        <v>#VALUE!</v>
      </c>
      <c r="CC38" t="e">
        <f>AND('2015'!AD157,"AAAAAF//f1A=")</f>
        <v>#VALUE!</v>
      </c>
      <c r="CD38" t="e">
        <f>AND('2015'!AE157,"AAAAAF//f1E=")</f>
        <v>#VALUE!</v>
      </c>
      <c r="CE38" t="e">
        <f>AND('2015'!AF157,"AAAAAF//f1I=")</f>
        <v>#VALUE!</v>
      </c>
      <c r="CF38" t="e">
        <f>AND('2015'!AG157,"AAAAAF//f1M=")</f>
        <v>#VALUE!</v>
      </c>
      <c r="CG38" t="e">
        <f>AND('2015'!AH157,"AAAAAF//f1Q=")</f>
        <v>#VALUE!</v>
      </c>
      <c r="CH38" t="e">
        <f>AND('2015'!AI157,"AAAAAF//f1U=")</f>
        <v>#VALUE!</v>
      </c>
      <c r="CI38" t="e">
        <f>AND('2015'!AJ157,"AAAAAF//f1Y=")</f>
        <v>#VALUE!</v>
      </c>
      <c r="CJ38" t="e">
        <f>AND('2015'!AK157,"AAAAAF//f1c=")</f>
        <v>#VALUE!</v>
      </c>
      <c r="CK38" t="e">
        <f>AND('2015'!AL157,"AAAAAF//f1g=")</f>
        <v>#VALUE!</v>
      </c>
      <c r="CL38" t="e">
        <f>AND('2015'!AM157,"AAAAAF//f1k=")</f>
        <v>#VALUE!</v>
      </c>
      <c r="CM38" t="e">
        <f>AND('2015'!AN157,"AAAAAF//f1o=")</f>
        <v>#VALUE!</v>
      </c>
      <c r="CN38" t="e">
        <f>AND('2015'!AO157,"AAAAAF//f1s=")</f>
        <v>#VALUE!</v>
      </c>
      <c r="CO38" t="e">
        <f>AND('2015'!AP157,"AAAAAF//f1w=")</f>
        <v>#VALUE!</v>
      </c>
      <c r="CP38" t="e">
        <f>AND('2015'!AQ157,"AAAAAF//f10=")</f>
        <v>#VALUE!</v>
      </c>
      <c r="CQ38" t="e">
        <f>AND('2015'!AR157,"AAAAAF//f14=")</f>
        <v>#VALUE!</v>
      </c>
      <c r="CR38" t="e">
        <f>AND('2015'!AS157,"AAAAAF//f18=")</f>
        <v>#VALUE!</v>
      </c>
      <c r="CS38" t="e">
        <f>AND('2015'!AT157,"AAAAAF//f2A=")</f>
        <v>#VALUE!</v>
      </c>
      <c r="CT38" t="e">
        <f>AND('2015'!#REF!,"AAAAAF//f2E=")</f>
        <v>#REF!</v>
      </c>
      <c r="CU38" t="e">
        <f>AND('2015'!AU157,"AAAAAF//f2I=")</f>
        <v>#VALUE!</v>
      </c>
      <c r="CV38" t="e">
        <f>AND('2015'!AV157,"AAAAAF//f2M=")</f>
        <v>#VALUE!</v>
      </c>
      <c r="CW38" t="e">
        <f>AND('2015'!AW157,"AAAAAF//f2Q=")</f>
        <v>#VALUE!</v>
      </c>
      <c r="CX38" t="e">
        <f>AND('2015'!AX157,"AAAAAF//f2U=")</f>
        <v>#VALUE!</v>
      </c>
      <c r="CY38" t="e">
        <f>AND('2015'!AY157,"AAAAAF//f2Y=")</f>
        <v>#VALUE!</v>
      </c>
      <c r="CZ38" t="e">
        <f>AND('2015'!AZ157,"AAAAAF//f2c=")</f>
        <v>#VALUE!</v>
      </c>
      <c r="DA38" t="e">
        <f>AND('2015'!BA157,"AAAAAF//f2g=")</f>
        <v>#VALUE!</v>
      </c>
      <c r="DB38" t="e">
        <f>AND('2015'!BB157,"AAAAAF//f2k=")</f>
        <v>#VALUE!</v>
      </c>
      <c r="DC38" t="e">
        <f>AND('2015'!BC157,"AAAAAF//f2o=")</f>
        <v>#VALUE!</v>
      </c>
      <c r="DD38" t="e">
        <f>AND('2015'!BD157,"AAAAAF//f2s=")</f>
        <v>#VALUE!</v>
      </c>
      <c r="DE38" t="e">
        <f>AND('2015'!BE157,"AAAAAF//f2w=")</f>
        <v>#VALUE!</v>
      </c>
      <c r="DF38" t="e">
        <f>AND('2015'!BF157,"AAAAAF//f20=")</f>
        <v>#VALUE!</v>
      </c>
      <c r="DG38" t="e">
        <f>AND('2015'!BG157,"AAAAAF//f24=")</f>
        <v>#VALUE!</v>
      </c>
      <c r="DH38" t="e">
        <f>AND('2015'!BH157,"AAAAAF//f28=")</f>
        <v>#VALUE!</v>
      </c>
      <c r="DI38" t="e">
        <f>AND('2015'!BI157,"AAAAAF//f3A=")</f>
        <v>#VALUE!</v>
      </c>
      <c r="DJ38" t="e">
        <f>AND('2015'!#REF!,"AAAAAF//f3E=")</f>
        <v>#REF!</v>
      </c>
      <c r="DK38" t="e">
        <f>AND('2015'!BJ157,"AAAAAF//f3I=")</f>
        <v>#VALUE!</v>
      </c>
      <c r="DL38" t="e">
        <f>AND('2015'!BK157,"AAAAAF//f3M=")</f>
        <v>#VALUE!</v>
      </c>
      <c r="DM38" t="e">
        <f>AND('2015'!BL157,"AAAAAF//f3Q=")</f>
        <v>#VALUE!</v>
      </c>
      <c r="DN38" t="e">
        <f>AND('2015'!BM157,"AAAAAF//f3U=")</f>
        <v>#VALUE!</v>
      </c>
      <c r="DO38" t="e">
        <f>AND('2015'!BY157,"AAAAAF//f3Y=")</f>
        <v>#VALUE!</v>
      </c>
      <c r="DP38">
        <f>IF('2015'!158:158,"AAAAAF//f3c=",0)</f>
        <v>0</v>
      </c>
      <c r="DQ38" t="e">
        <f>AND('2015'!A158,"AAAAAF//f3g=")</f>
        <v>#VALUE!</v>
      </c>
      <c r="DR38" t="e">
        <f>AND('2015'!B158,"AAAAAF//f3k=")</f>
        <v>#VALUE!</v>
      </c>
      <c r="DS38" t="e">
        <f>AND('2015'!C158,"AAAAAF//f3o=")</f>
        <v>#VALUE!</v>
      </c>
      <c r="DT38" t="e">
        <f>AND('2015'!D158,"AAAAAF//f3s=")</f>
        <v>#VALUE!</v>
      </c>
      <c r="DU38" t="e">
        <f>AND('2015'!E158,"AAAAAF//f3w=")</f>
        <v>#VALUE!</v>
      </c>
      <c r="DV38" t="e">
        <f>AND('2015'!F158,"AAAAAF//f30=")</f>
        <v>#VALUE!</v>
      </c>
      <c r="DW38" t="e">
        <f>AND('2015'!G158,"AAAAAF//f34=")</f>
        <v>#VALUE!</v>
      </c>
      <c r="DX38" t="e">
        <f>AND('2015'!H158,"AAAAAF//f38=")</f>
        <v>#VALUE!</v>
      </c>
      <c r="DY38" t="e">
        <f>AND('2015'!I158,"AAAAAF//f4A=")</f>
        <v>#VALUE!</v>
      </c>
      <c r="DZ38" t="e">
        <f>AND('2015'!J158,"AAAAAF//f4E=")</f>
        <v>#VALUE!</v>
      </c>
      <c r="EA38" t="e">
        <f>AND('2015'!K158,"AAAAAF//f4I=")</f>
        <v>#VALUE!</v>
      </c>
      <c r="EB38" t="e">
        <f>AND('2015'!L158,"AAAAAF//f4M=")</f>
        <v>#VALUE!</v>
      </c>
      <c r="EC38" t="e">
        <f>AND('2015'!M158,"AAAAAF//f4Q=")</f>
        <v>#VALUE!</v>
      </c>
      <c r="ED38" t="e">
        <f>AND('2015'!N158,"AAAAAF//f4U=")</f>
        <v>#VALUE!</v>
      </c>
      <c r="EE38" t="e">
        <f>AND('2015'!O158,"AAAAAF//f4Y=")</f>
        <v>#VALUE!</v>
      </c>
      <c r="EF38" t="e">
        <f>AND('2015'!P158,"AAAAAF//f4c=")</f>
        <v>#VALUE!</v>
      </c>
      <c r="EG38" t="e">
        <f>AND('2015'!Q158,"AAAAAF//f4g=")</f>
        <v>#VALUE!</v>
      </c>
      <c r="EH38" t="e">
        <f>AND('2015'!R158,"AAAAAF//f4k=")</f>
        <v>#VALUE!</v>
      </c>
      <c r="EI38" t="e">
        <f>AND('2015'!S158,"AAAAAF//f4o=")</f>
        <v>#VALUE!</v>
      </c>
      <c r="EJ38" t="e">
        <f>AND('2015'!T158,"AAAAAF//f4s=")</f>
        <v>#VALUE!</v>
      </c>
      <c r="EK38" t="e">
        <f>AND('2015'!U158,"AAAAAF//f4w=")</f>
        <v>#VALUE!</v>
      </c>
      <c r="EL38" t="e">
        <f>AND('2015'!V158,"AAAAAF//f40=")</f>
        <v>#VALUE!</v>
      </c>
      <c r="EM38" t="e">
        <f>AND('2015'!W158,"AAAAAF//f44=")</f>
        <v>#VALUE!</v>
      </c>
      <c r="EN38" t="e">
        <f>AND('2015'!X158,"AAAAAF//f48=")</f>
        <v>#VALUE!</v>
      </c>
      <c r="EO38" t="e">
        <f>AND('2015'!Y158,"AAAAAF//f5A=")</f>
        <v>#VALUE!</v>
      </c>
      <c r="EP38" t="e">
        <f>AND('2015'!Z158,"AAAAAF//f5E=")</f>
        <v>#VALUE!</v>
      </c>
      <c r="EQ38" t="e">
        <f>AND('2015'!AA158,"AAAAAF//f5I=")</f>
        <v>#VALUE!</v>
      </c>
      <c r="ER38" t="e">
        <f>AND('2015'!AB158,"AAAAAF//f5M=")</f>
        <v>#VALUE!</v>
      </c>
      <c r="ES38" t="e">
        <f>AND('2015'!AC158,"AAAAAF//f5Q=")</f>
        <v>#VALUE!</v>
      </c>
      <c r="ET38" t="e">
        <f>AND('2015'!AD158,"AAAAAF//f5U=")</f>
        <v>#VALUE!</v>
      </c>
      <c r="EU38" t="e">
        <f>AND('2015'!AE158,"AAAAAF//f5Y=")</f>
        <v>#VALUE!</v>
      </c>
      <c r="EV38" t="e">
        <f>AND('2015'!AF158,"AAAAAF//f5c=")</f>
        <v>#VALUE!</v>
      </c>
      <c r="EW38" t="e">
        <f>AND('2015'!AG158,"AAAAAF//f5g=")</f>
        <v>#VALUE!</v>
      </c>
      <c r="EX38" t="e">
        <f>AND('2015'!AH158,"AAAAAF//f5k=")</f>
        <v>#VALUE!</v>
      </c>
      <c r="EY38" t="e">
        <f>AND('2015'!AI158,"AAAAAF//f5o=")</f>
        <v>#VALUE!</v>
      </c>
      <c r="EZ38" t="e">
        <f>AND('2015'!AJ158,"AAAAAF//f5s=")</f>
        <v>#VALUE!</v>
      </c>
      <c r="FA38" t="e">
        <f>AND('2015'!AK158,"AAAAAF//f5w=")</f>
        <v>#VALUE!</v>
      </c>
      <c r="FB38" t="e">
        <f>AND('2015'!AL158,"AAAAAF//f50=")</f>
        <v>#VALUE!</v>
      </c>
      <c r="FC38" t="e">
        <f>AND('2015'!AM158,"AAAAAF//f54=")</f>
        <v>#VALUE!</v>
      </c>
      <c r="FD38" t="e">
        <f>AND('2015'!AN158,"AAAAAF//f58=")</f>
        <v>#VALUE!</v>
      </c>
      <c r="FE38" t="e">
        <f>AND('2015'!AO158,"AAAAAF//f6A=")</f>
        <v>#VALUE!</v>
      </c>
      <c r="FF38" t="e">
        <f>AND('2015'!AP158,"AAAAAF//f6E=")</f>
        <v>#VALUE!</v>
      </c>
      <c r="FG38" t="e">
        <f>AND('2015'!AQ158,"AAAAAF//f6I=")</f>
        <v>#VALUE!</v>
      </c>
      <c r="FH38" t="e">
        <f>AND('2015'!AR158,"AAAAAF//f6M=")</f>
        <v>#VALUE!</v>
      </c>
      <c r="FI38" t="e">
        <f>AND('2015'!AS158,"AAAAAF//f6Q=")</f>
        <v>#VALUE!</v>
      </c>
      <c r="FJ38" t="e">
        <f>AND('2015'!AT158,"AAAAAF//f6U=")</f>
        <v>#VALUE!</v>
      </c>
      <c r="FK38" t="e">
        <f>AND('2015'!#REF!,"AAAAAF//f6Y=")</f>
        <v>#REF!</v>
      </c>
      <c r="FL38" t="e">
        <f>AND('2015'!AU158,"AAAAAF//f6c=")</f>
        <v>#VALUE!</v>
      </c>
      <c r="FM38" t="e">
        <f>AND('2015'!AV158,"AAAAAF//f6g=")</f>
        <v>#VALUE!</v>
      </c>
      <c r="FN38" t="e">
        <f>AND('2015'!AW158,"AAAAAF//f6k=")</f>
        <v>#VALUE!</v>
      </c>
      <c r="FO38" t="e">
        <f>AND('2015'!AX158,"AAAAAF//f6o=")</f>
        <v>#VALUE!</v>
      </c>
      <c r="FP38" t="e">
        <f>AND('2015'!AY158,"AAAAAF//f6s=")</f>
        <v>#VALUE!</v>
      </c>
      <c r="FQ38" t="e">
        <f>AND('2015'!AZ158,"AAAAAF//f6w=")</f>
        <v>#VALUE!</v>
      </c>
      <c r="FR38" t="e">
        <f>AND('2015'!BA158,"AAAAAF//f60=")</f>
        <v>#VALUE!</v>
      </c>
      <c r="FS38" t="e">
        <f>AND('2015'!BB158,"AAAAAF//f64=")</f>
        <v>#VALUE!</v>
      </c>
      <c r="FT38" t="e">
        <f>AND('2015'!BC158,"AAAAAF//f68=")</f>
        <v>#VALUE!</v>
      </c>
      <c r="FU38" t="e">
        <f>AND('2015'!BD158,"AAAAAF//f7A=")</f>
        <v>#VALUE!</v>
      </c>
      <c r="FV38" t="e">
        <f>AND('2015'!BE158,"AAAAAF//f7E=")</f>
        <v>#VALUE!</v>
      </c>
      <c r="FW38" t="e">
        <f>AND('2015'!BF158,"AAAAAF//f7I=")</f>
        <v>#VALUE!</v>
      </c>
      <c r="FX38" t="e">
        <f>AND('2015'!BG158,"AAAAAF//f7M=")</f>
        <v>#VALUE!</v>
      </c>
      <c r="FY38" t="e">
        <f>AND('2015'!BH158,"AAAAAF//f7Q=")</f>
        <v>#VALUE!</v>
      </c>
      <c r="FZ38" t="e">
        <f>AND('2015'!BI158,"AAAAAF//f7U=")</f>
        <v>#VALUE!</v>
      </c>
      <c r="GA38" t="e">
        <f>AND('2015'!#REF!,"AAAAAF//f7Y=")</f>
        <v>#REF!</v>
      </c>
      <c r="GB38" t="e">
        <f>AND('2015'!BJ158,"AAAAAF//f7c=")</f>
        <v>#VALUE!</v>
      </c>
      <c r="GC38" t="e">
        <f>AND('2015'!BK158,"AAAAAF//f7g=")</f>
        <v>#VALUE!</v>
      </c>
      <c r="GD38" t="e">
        <f>AND('2015'!BL158,"AAAAAF//f7k=")</f>
        <v>#VALUE!</v>
      </c>
      <c r="GE38" t="e">
        <f>AND('2015'!BM158,"AAAAAF//f7o=")</f>
        <v>#VALUE!</v>
      </c>
      <c r="GF38" t="e">
        <f>AND('2015'!BY158,"AAAAAF//f7s=")</f>
        <v>#VALUE!</v>
      </c>
      <c r="GG38">
        <f>IF('2015'!159:159,"AAAAAF//f7w=",0)</f>
        <v>0</v>
      </c>
      <c r="GH38" t="e">
        <f>AND('2015'!A159,"AAAAAF//f70=")</f>
        <v>#VALUE!</v>
      </c>
      <c r="GI38" t="e">
        <f>AND('2015'!B159,"AAAAAF//f74=")</f>
        <v>#VALUE!</v>
      </c>
      <c r="GJ38" t="e">
        <f>AND('2015'!C159,"AAAAAF//f78=")</f>
        <v>#VALUE!</v>
      </c>
      <c r="GK38" t="e">
        <f>AND('2015'!D159,"AAAAAF//f8A=")</f>
        <v>#VALUE!</v>
      </c>
      <c r="GL38" t="e">
        <f>AND('2015'!E159,"AAAAAF//f8E=")</f>
        <v>#VALUE!</v>
      </c>
      <c r="GM38" t="e">
        <f>AND('2015'!F159,"AAAAAF//f8I=")</f>
        <v>#VALUE!</v>
      </c>
      <c r="GN38" t="e">
        <f>AND('2015'!G159,"AAAAAF//f8M=")</f>
        <v>#VALUE!</v>
      </c>
      <c r="GO38" t="e">
        <f>AND('2015'!H159,"AAAAAF//f8Q=")</f>
        <v>#VALUE!</v>
      </c>
      <c r="GP38" t="e">
        <f>AND('2015'!I159,"AAAAAF//f8U=")</f>
        <v>#VALUE!</v>
      </c>
      <c r="GQ38" t="e">
        <f>AND('2015'!J159,"AAAAAF//f8Y=")</f>
        <v>#VALUE!</v>
      </c>
      <c r="GR38" t="e">
        <f>AND('2015'!K159,"AAAAAF//f8c=")</f>
        <v>#VALUE!</v>
      </c>
      <c r="GS38" t="e">
        <f>AND('2015'!L159,"AAAAAF//f8g=")</f>
        <v>#VALUE!</v>
      </c>
      <c r="GT38" t="e">
        <f>AND('2015'!M159,"AAAAAF//f8k=")</f>
        <v>#VALUE!</v>
      </c>
      <c r="GU38" t="e">
        <f>AND('2015'!N159,"AAAAAF//f8o=")</f>
        <v>#VALUE!</v>
      </c>
      <c r="GV38" t="e">
        <f>AND('2015'!O159,"AAAAAF//f8s=")</f>
        <v>#VALUE!</v>
      </c>
      <c r="GW38" t="e">
        <f>AND('2015'!P159,"AAAAAF//f8w=")</f>
        <v>#VALUE!</v>
      </c>
      <c r="GX38" t="e">
        <f>AND('2015'!Q159,"AAAAAF//f80=")</f>
        <v>#VALUE!</v>
      </c>
      <c r="GY38" t="e">
        <f>AND('2015'!R159,"AAAAAF//f84=")</f>
        <v>#VALUE!</v>
      </c>
      <c r="GZ38" t="e">
        <f>AND('2015'!S159,"AAAAAF//f88=")</f>
        <v>#VALUE!</v>
      </c>
      <c r="HA38" t="e">
        <f>AND('2015'!T159,"AAAAAF//f9A=")</f>
        <v>#VALUE!</v>
      </c>
      <c r="HB38" t="e">
        <f>AND('2015'!U159,"AAAAAF//f9E=")</f>
        <v>#VALUE!</v>
      </c>
      <c r="HC38" t="e">
        <f>AND('2015'!V159,"AAAAAF//f9I=")</f>
        <v>#VALUE!</v>
      </c>
      <c r="HD38" t="e">
        <f>AND('2015'!W159,"AAAAAF//f9M=")</f>
        <v>#VALUE!</v>
      </c>
      <c r="HE38" t="e">
        <f>AND('2015'!X159,"AAAAAF//f9Q=")</f>
        <v>#VALUE!</v>
      </c>
      <c r="HF38" t="e">
        <f>AND('2015'!Y159,"AAAAAF//f9U=")</f>
        <v>#VALUE!</v>
      </c>
      <c r="HG38" t="e">
        <f>AND('2015'!Z159,"AAAAAF//f9Y=")</f>
        <v>#VALUE!</v>
      </c>
      <c r="HH38" t="e">
        <f>AND('2015'!AA159,"AAAAAF//f9c=")</f>
        <v>#VALUE!</v>
      </c>
      <c r="HI38" t="e">
        <f>AND('2015'!AB159,"AAAAAF//f9g=")</f>
        <v>#VALUE!</v>
      </c>
      <c r="HJ38" t="e">
        <f>AND('2015'!AC159,"AAAAAF//f9k=")</f>
        <v>#VALUE!</v>
      </c>
      <c r="HK38" t="e">
        <f>AND('2015'!AD159,"AAAAAF//f9o=")</f>
        <v>#VALUE!</v>
      </c>
      <c r="HL38" t="e">
        <f>AND('2015'!AE159,"AAAAAF//f9s=")</f>
        <v>#VALUE!</v>
      </c>
      <c r="HM38" t="e">
        <f>AND('2015'!AF159,"AAAAAF//f9w=")</f>
        <v>#VALUE!</v>
      </c>
      <c r="HN38" t="e">
        <f>AND('2015'!AG159,"AAAAAF//f90=")</f>
        <v>#VALUE!</v>
      </c>
      <c r="HO38" t="e">
        <f>AND('2015'!AH159,"AAAAAF//f94=")</f>
        <v>#VALUE!</v>
      </c>
      <c r="HP38" t="e">
        <f>AND('2015'!AI159,"AAAAAF//f98=")</f>
        <v>#VALUE!</v>
      </c>
      <c r="HQ38" t="e">
        <f>AND('2015'!AJ159,"AAAAAF//f+A=")</f>
        <v>#VALUE!</v>
      </c>
      <c r="HR38" t="e">
        <f>AND('2015'!AK159,"AAAAAF//f+E=")</f>
        <v>#VALUE!</v>
      </c>
      <c r="HS38" t="e">
        <f>AND('2015'!AL159,"AAAAAF//f+I=")</f>
        <v>#VALUE!</v>
      </c>
      <c r="HT38" t="e">
        <f>AND('2015'!AM159,"AAAAAF//f+M=")</f>
        <v>#VALUE!</v>
      </c>
      <c r="HU38" t="e">
        <f>AND('2015'!AN159,"AAAAAF//f+Q=")</f>
        <v>#VALUE!</v>
      </c>
      <c r="HV38" t="e">
        <f>AND('2015'!AO159,"AAAAAF//f+U=")</f>
        <v>#VALUE!</v>
      </c>
      <c r="HW38" t="e">
        <f>AND('2015'!AP159,"AAAAAF//f+Y=")</f>
        <v>#VALUE!</v>
      </c>
      <c r="HX38" t="e">
        <f>AND('2015'!AQ159,"AAAAAF//f+c=")</f>
        <v>#VALUE!</v>
      </c>
      <c r="HY38" t="e">
        <f>AND('2015'!AR159,"AAAAAF//f+g=")</f>
        <v>#VALUE!</v>
      </c>
      <c r="HZ38" t="e">
        <f>AND('2015'!AS159,"AAAAAF//f+k=")</f>
        <v>#VALUE!</v>
      </c>
      <c r="IA38" t="e">
        <f>AND('2015'!AT159,"AAAAAF//f+o=")</f>
        <v>#VALUE!</v>
      </c>
      <c r="IB38" t="e">
        <f>AND('2015'!#REF!,"AAAAAF//f+s=")</f>
        <v>#REF!</v>
      </c>
      <c r="IC38" t="e">
        <f>AND('2015'!AU159,"AAAAAF//f+w=")</f>
        <v>#VALUE!</v>
      </c>
      <c r="ID38" t="e">
        <f>AND('2015'!AV159,"AAAAAF//f+0=")</f>
        <v>#VALUE!</v>
      </c>
      <c r="IE38" t="e">
        <f>AND('2015'!AW159,"AAAAAF//f+4=")</f>
        <v>#VALUE!</v>
      </c>
      <c r="IF38" t="e">
        <f>AND('2015'!AX159,"AAAAAF//f+8=")</f>
        <v>#VALUE!</v>
      </c>
      <c r="IG38" t="e">
        <f>AND('2015'!AY159,"AAAAAF//f/A=")</f>
        <v>#VALUE!</v>
      </c>
      <c r="IH38" t="e">
        <f>AND('2015'!AZ159,"AAAAAF//f/E=")</f>
        <v>#VALUE!</v>
      </c>
      <c r="II38" t="e">
        <f>AND('2015'!BA159,"AAAAAF//f/I=")</f>
        <v>#VALUE!</v>
      </c>
      <c r="IJ38" t="e">
        <f>AND('2015'!BB159,"AAAAAF//f/M=")</f>
        <v>#VALUE!</v>
      </c>
      <c r="IK38" t="e">
        <f>AND('2015'!BC159,"AAAAAF//f/Q=")</f>
        <v>#VALUE!</v>
      </c>
      <c r="IL38" t="e">
        <f>AND('2015'!BD159,"AAAAAF//f/U=")</f>
        <v>#VALUE!</v>
      </c>
      <c r="IM38" t="e">
        <f>AND('2015'!BE159,"AAAAAF//f/Y=")</f>
        <v>#VALUE!</v>
      </c>
      <c r="IN38" t="e">
        <f>AND('2015'!BF159,"AAAAAF//f/c=")</f>
        <v>#VALUE!</v>
      </c>
      <c r="IO38" t="e">
        <f>AND('2015'!BG159,"AAAAAF//f/g=")</f>
        <v>#VALUE!</v>
      </c>
      <c r="IP38" t="e">
        <f>AND('2015'!BH159,"AAAAAF//f/k=")</f>
        <v>#VALUE!</v>
      </c>
      <c r="IQ38" t="e">
        <f>AND('2015'!BI159,"AAAAAF//f/o=")</f>
        <v>#VALUE!</v>
      </c>
      <c r="IR38" t="e">
        <f>AND('2015'!#REF!,"AAAAAF//f/s=")</f>
        <v>#REF!</v>
      </c>
      <c r="IS38" t="e">
        <f>AND('2015'!BJ159,"AAAAAF//f/w=")</f>
        <v>#VALUE!</v>
      </c>
      <c r="IT38" t="e">
        <f>AND('2015'!BK159,"AAAAAF//f/0=")</f>
        <v>#VALUE!</v>
      </c>
      <c r="IU38" t="e">
        <f>AND('2015'!BL159,"AAAAAF//f/4=")</f>
        <v>#VALUE!</v>
      </c>
      <c r="IV38" t="e">
        <f>AND('2015'!BM159,"AAAAAF//f/8=")</f>
        <v>#VALUE!</v>
      </c>
    </row>
    <row r="39" spans="1:256" x14ac:dyDescent="0.25">
      <c r="A39" t="e">
        <f>AND('2015'!BY159,"AAAAAGe+/wA=")</f>
        <v>#VALUE!</v>
      </c>
      <c r="B39">
        <f>IF('2015'!160:160,"AAAAAGe+/wE=",0)</f>
        <v>0</v>
      </c>
      <c r="C39" t="e">
        <f>AND('2015'!A160,"AAAAAGe+/wI=")</f>
        <v>#VALUE!</v>
      </c>
      <c r="D39" t="e">
        <f>AND('2015'!B160,"AAAAAGe+/wM=")</f>
        <v>#VALUE!</v>
      </c>
      <c r="E39" t="e">
        <f>AND('2015'!C160,"AAAAAGe+/wQ=")</f>
        <v>#VALUE!</v>
      </c>
      <c r="F39" t="e">
        <f>AND('2015'!D160,"AAAAAGe+/wU=")</f>
        <v>#VALUE!</v>
      </c>
      <c r="G39" t="e">
        <f>AND('2015'!E160,"AAAAAGe+/wY=")</f>
        <v>#VALUE!</v>
      </c>
      <c r="H39" t="e">
        <f>AND('2015'!F160,"AAAAAGe+/wc=")</f>
        <v>#VALUE!</v>
      </c>
      <c r="I39" t="e">
        <f>AND('2015'!G160,"AAAAAGe+/wg=")</f>
        <v>#VALUE!</v>
      </c>
      <c r="J39" t="e">
        <f>AND('2015'!H160,"AAAAAGe+/wk=")</f>
        <v>#VALUE!</v>
      </c>
      <c r="K39" t="e">
        <f>AND('2015'!I160,"AAAAAGe+/wo=")</f>
        <v>#VALUE!</v>
      </c>
      <c r="L39" t="e">
        <f>AND('2015'!J160,"AAAAAGe+/ws=")</f>
        <v>#VALUE!</v>
      </c>
      <c r="M39" t="e">
        <f>AND('2015'!K160,"AAAAAGe+/ww=")</f>
        <v>#VALUE!</v>
      </c>
      <c r="N39" t="e">
        <f>AND('2015'!L160,"AAAAAGe+/w0=")</f>
        <v>#VALUE!</v>
      </c>
      <c r="O39" t="e">
        <f>AND('2015'!M160,"AAAAAGe+/w4=")</f>
        <v>#VALUE!</v>
      </c>
      <c r="P39" t="e">
        <f>AND('2015'!N160,"AAAAAGe+/w8=")</f>
        <v>#VALUE!</v>
      </c>
      <c r="Q39" t="e">
        <f>AND('2015'!O160,"AAAAAGe+/xA=")</f>
        <v>#VALUE!</v>
      </c>
      <c r="R39" t="e">
        <f>AND('2015'!P160,"AAAAAGe+/xE=")</f>
        <v>#VALUE!</v>
      </c>
      <c r="S39" t="e">
        <f>AND('2015'!Q160,"AAAAAGe+/xI=")</f>
        <v>#VALUE!</v>
      </c>
      <c r="T39" t="e">
        <f>AND('2015'!R160,"AAAAAGe+/xM=")</f>
        <v>#VALUE!</v>
      </c>
      <c r="U39" t="e">
        <f>AND('2015'!S160,"AAAAAGe+/xQ=")</f>
        <v>#VALUE!</v>
      </c>
      <c r="V39" t="e">
        <f>AND('2015'!T160,"AAAAAGe+/xU=")</f>
        <v>#VALUE!</v>
      </c>
      <c r="W39" t="e">
        <f>AND('2015'!U160,"AAAAAGe+/xY=")</f>
        <v>#VALUE!</v>
      </c>
      <c r="X39" t="e">
        <f>AND('2015'!V160,"AAAAAGe+/xc=")</f>
        <v>#VALUE!</v>
      </c>
      <c r="Y39" t="e">
        <f>AND('2015'!W160,"AAAAAGe+/xg=")</f>
        <v>#VALUE!</v>
      </c>
      <c r="Z39" t="e">
        <f>AND('2015'!X160,"AAAAAGe+/xk=")</f>
        <v>#VALUE!</v>
      </c>
      <c r="AA39" t="e">
        <f>AND('2015'!Y160,"AAAAAGe+/xo=")</f>
        <v>#VALUE!</v>
      </c>
      <c r="AB39" t="e">
        <f>AND('2015'!Z160,"AAAAAGe+/xs=")</f>
        <v>#VALUE!</v>
      </c>
      <c r="AC39" t="e">
        <f>AND('2015'!AA160,"AAAAAGe+/xw=")</f>
        <v>#VALUE!</v>
      </c>
      <c r="AD39" t="e">
        <f>AND('2015'!AB160,"AAAAAGe+/x0=")</f>
        <v>#VALUE!</v>
      </c>
      <c r="AE39" t="e">
        <f>AND('2015'!AC160,"AAAAAGe+/x4=")</f>
        <v>#VALUE!</v>
      </c>
      <c r="AF39" t="e">
        <f>AND('2015'!AD160,"AAAAAGe+/x8=")</f>
        <v>#VALUE!</v>
      </c>
      <c r="AG39" t="e">
        <f>AND('2015'!AE160,"AAAAAGe+/yA=")</f>
        <v>#VALUE!</v>
      </c>
      <c r="AH39" t="e">
        <f>AND('2015'!AF160,"AAAAAGe+/yE=")</f>
        <v>#VALUE!</v>
      </c>
      <c r="AI39" t="e">
        <f>AND('2015'!AG160,"AAAAAGe+/yI=")</f>
        <v>#VALUE!</v>
      </c>
      <c r="AJ39" t="e">
        <f>AND('2015'!AH160,"AAAAAGe+/yM=")</f>
        <v>#VALUE!</v>
      </c>
      <c r="AK39" t="e">
        <f>AND('2015'!AI160,"AAAAAGe+/yQ=")</f>
        <v>#VALUE!</v>
      </c>
      <c r="AL39" t="e">
        <f>AND('2015'!AJ160,"AAAAAGe+/yU=")</f>
        <v>#VALUE!</v>
      </c>
      <c r="AM39" t="e">
        <f>AND('2015'!AK160,"AAAAAGe+/yY=")</f>
        <v>#VALUE!</v>
      </c>
      <c r="AN39" t="e">
        <f>AND('2015'!AL160,"AAAAAGe+/yc=")</f>
        <v>#VALUE!</v>
      </c>
      <c r="AO39" t="e">
        <f>AND('2015'!AM160,"AAAAAGe+/yg=")</f>
        <v>#VALUE!</v>
      </c>
      <c r="AP39" t="e">
        <f>AND('2015'!AN160,"AAAAAGe+/yk=")</f>
        <v>#VALUE!</v>
      </c>
      <c r="AQ39" t="e">
        <f>AND('2015'!AO160,"AAAAAGe+/yo=")</f>
        <v>#VALUE!</v>
      </c>
      <c r="AR39" t="e">
        <f>AND('2015'!AP160,"AAAAAGe+/ys=")</f>
        <v>#VALUE!</v>
      </c>
      <c r="AS39" t="e">
        <f>AND('2015'!AQ160,"AAAAAGe+/yw=")</f>
        <v>#VALUE!</v>
      </c>
      <c r="AT39" t="e">
        <f>AND('2015'!AR160,"AAAAAGe+/y0=")</f>
        <v>#VALUE!</v>
      </c>
      <c r="AU39" t="e">
        <f>AND('2015'!AS160,"AAAAAGe+/y4=")</f>
        <v>#VALUE!</v>
      </c>
      <c r="AV39" t="e">
        <f>AND('2015'!AT160,"AAAAAGe+/y8=")</f>
        <v>#VALUE!</v>
      </c>
      <c r="AW39" t="e">
        <f>AND('2015'!#REF!,"AAAAAGe+/zA=")</f>
        <v>#REF!</v>
      </c>
      <c r="AX39" t="e">
        <f>AND('2015'!AU160,"AAAAAGe+/zE=")</f>
        <v>#VALUE!</v>
      </c>
      <c r="AY39" t="e">
        <f>AND('2015'!AV160,"AAAAAGe+/zI=")</f>
        <v>#VALUE!</v>
      </c>
      <c r="AZ39" t="e">
        <f>AND('2015'!AW160,"AAAAAGe+/zM=")</f>
        <v>#VALUE!</v>
      </c>
      <c r="BA39" t="e">
        <f>AND('2015'!AX160,"AAAAAGe+/zQ=")</f>
        <v>#VALUE!</v>
      </c>
      <c r="BB39" t="e">
        <f>AND('2015'!AY160,"AAAAAGe+/zU=")</f>
        <v>#VALUE!</v>
      </c>
      <c r="BC39" t="e">
        <f>AND('2015'!AZ160,"AAAAAGe+/zY=")</f>
        <v>#VALUE!</v>
      </c>
      <c r="BD39" t="e">
        <f>AND('2015'!BA160,"AAAAAGe+/zc=")</f>
        <v>#VALUE!</v>
      </c>
      <c r="BE39" t="e">
        <f>AND('2015'!BB160,"AAAAAGe+/zg=")</f>
        <v>#VALUE!</v>
      </c>
      <c r="BF39" t="e">
        <f>AND('2015'!BC160,"AAAAAGe+/zk=")</f>
        <v>#VALUE!</v>
      </c>
      <c r="BG39" t="e">
        <f>AND('2015'!BD160,"AAAAAGe+/zo=")</f>
        <v>#VALUE!</v>
      </c>
      <c r="BH39" t="e">
        <f>AND('2015'!BE160,"AAAAAGe+/zs=")</f>
        <v>#VALUE!</v>
      </c>
      <c r="BI39" t="e">
        <f>AND('2015'!BF160,"AAAAAGe+/zw=")</f>
        <v>#VALUE!</v>
      </c>
      <c r="BJ39" t="e">
        <f>AND('2015'!BG160,"AAAAAGe+/z0=")</f>
        <v>#VALUE!</v>
      </c>
      <c r="BK39" t="e">
        <f>AND('2015'!BH160,"AAAAAGe+/z4=")</f>
        <v>#VALUE!</v>
      </c>
      <c r="BL39" t="e">
        <f>AND('2015'!BI160,"AAAAAGe+/z8=")</f>
        <v>#VALUE!</v>
      </c>
      <c r="BM39" t="e">
        <f>AND('2015'!#REF!,"AAAAAGe+/0A=")</f>
        <v>#REF!</v>
      </c>
      <c r="BN39" t="e">
        <f>AND('2015'!BJ160,"AAAAAGe+/0E=")</f>
        <v>#VALUE!</v>
      </c>
      <c r="BO39" t="e">
        <f>AND('2015'!BK160,"AAAAAGe+/0I=")</f>
        <v>#VALUE!</v>
      </c>
      <c r="BP39" t="e">
        <f>AND('2015'!BL160,"AAAAAGe+/0M=")</f>
        <v>#VALUE!</v>
      </c>
      <c r="BQ39" t="e">
        <f>AND('2015'!BM160,"AAAAAGe+/0Q=")</f>
        <v>#VALUE!</v>
      </c>
      <c r="BR39" t="e">
        <f>AND('2015'!BY160,"AAAAAGe+/0U=")</f>
        <v>#VALUE!</v>
      </c>
      <c r="BS39" t="str">
        <f>IF('2015'!161:161,"AAAAAGe+/0Y=",0)</f>
        <v>AAAAAGe+/0Y=</v>
      </c>
      <c r="BT39" t="e">
        <f>AND('2015'!A161,"AAAAAGe+/0c=")</f>
        <v>#VALUE!</v>
      </c>
      <c r="BU39" t="e">
        <f>AND('2015'!B161,"AAAAAGe+/0g=")</f>
        <v>#VALUE!</v>
      </c>
      <c r="BV39" t="e">
        <f>AND('2015'!C161,"AAAAAGe+/0k=")</f>
        <v>#VALUE!</v>
      </c>
      <c r="BW39" t="e">
        <f>AND('2015'!D161,"AAAAAGe+/0o=")</f>
        <v>#VALUE!</v>
      </c>
      <c r="BX39" t="e">
        <f>AND('2015'!E161,"AAAAAGe+/0s=")</f>
        <v>#VALUE!</v>
      </c>
      <c r="BY39" t="e">
        <f>AND('2015'!F161,"AAAAAGe+/0w=")</f>
        <v>#VALUE!</v>
      </c>
      <c r="BZ39" t="e">
        <f>AND('2015'!G161,"AAAAAGe+/00=")</f>
        <v>#VALUE!</v>
      </c>
      <c r="CA39" t="e">
        <f>AND('2015'!H161,"AAAAAGe+/04=")</f>
        <v>#VALUE!</v>
      </c>
      <c r="CB39" t="e">
        <f>AND('2015'!I161,"AAAAAGe+/08=")</f>
        <v>#VALUE!</v>
      </c>
      <c r="CC39" t="e">
        <f>AND('2015'!J161,"AAAAAGe+/1A=")</f>
        <v>#VALUE!</v>
      </c>
      <c r="CD39" t="e">
        <f>AND('2015'!K161,"AAAAAGe+/1E=")</f>
        <v>#VALUE!</v>
      </c>
      <c r="CE39" t="e">
        <f>AND('2015'!L161,"AAAAAGe+/1I=")</f>
        <v>#VALUE!</v>
      </c>
      <c r="CF39" t="e">
        <f>AND('2015'!M161,"AAAAAGe+/1M=")</f>
        <v>#VALUE!</v>
      </c>
      <c r="CG39" t="e">
        <f>AND('2015'!N161,"AAAAAGe+/1Q=")</f>
        <v>#VALUE!</v>
      </c>
      <c r="CH39" t="e">
        <f>AND('2015'!O161,"AAAAAGe+/1U=")</f>
        <v>#VALUE!</v>
      </c>
      <c r="CI39" t="e">
        <f>AND('2015'!P161,"AAAAAGe+/1Y=")</f>
        <v>#VALUE!</v>
      </c>
      <c r="CJ39" t="e">
        <f>AND('2015'!Q161,"AAAAAGe+/1c=")</f>
        <v>#VALUE!</v>
      </c>
      <c r="CK39" t="e">
        <f>AND('2015'!R161,"AAAAAGe+/1g=")</f>
        <v>#VALUE!</v>
      </c>
      <c r="CL39" t="e">
        <f>AND('2015'!S161,"AAAAAGe+/1k=")</f>
        <v>#VALUE!</v>
      </c>
      <c r="CM39" t="e">
        <f>AND('2015'!T161,"AAAAAGe+/1o=")</f>
        <v>#VALUE!</v>
      </c>
      <c r="CN39" t="e">
        <f>AND('2015'!U161,"AAAAAGe+/1s=")</f>
        <v>#VALUE!</v>
      </c>
      <c r="CO39" t="e">
        <f>AND('2015'!V161,"AAAAAGe+/1w=")</f>
        <v>#VALUE!</v>
      </c>
      <c r="CP39" t="e">
        <f>AND('2015'!W161,"AAAAAGe+/10=")</f>
        <v>#VALUE!</v>
      </c>
      <c r="CQ39" t="e">
        <f>AND('2015'!X161,"AAAAAGe+/14=")</f>
        <v>#VALUE!</v>
      </c>
      <c r="CR39" t="e">
        <f>AND('2015'!Y161,"AAAAAGe+/18=")</f>
        <v>#VALUE!</v>
      </c>
      <c r="CS39" t="e">
        <f>AND('2015'!Z161,"AAAAAGe+/2A=")</f>
        <v>#VALUE!</v>
      </c>
      <c r="CT39" t="e">
        <f>AND('2015'!AA161,"AAAAAGe+/2E=")</f>
        <v>#VALUE!</v>
      </c>
      <c r="CU39" t="e">
        <f>AND('2015'!AB161,"AAAAAGe+/2I=")</f>
        <v>#VALUE!</v>
      </c>
      <c r="CV39" t="e">
        <f>AND('2015'!AC161,"AAAAAGe+/2M=")</f>
        <v>#VALUE!</v>
      </c>
      <c r="CW39" t="e">
        <f>AND('2015'!AD161,"AAAAAGe+/2Q=")</f>
        <v>#VALUE!</v>
      </c>
      <c r="CX39" t="e">
        <f>AND('2015'!AE161,"AAAAAGe+/2U=")</f>
        <v>#VALUE!</v>
      </c>
      <c r="CY39" t="e">
        <f>AND('2015'!AF161,"AAAAAGe+/2Y=")</f>
        <v>#VALUE!</v>
      </c>
      <c r="CZ39" t="e">
        <f>AND('2015'!AG161,"AAAAAGe+/2c=")</f>
        <v>#VALUE!</v>
      </c>
      <c r="DA39" t="e">
        <f>AND('2015'!AH161,"AAAAAGe+/2g=")</f>
        <v>#VALUE!</v>
      </c>
      <c r="DB39" t="e">
        <f>AND('2015'!AI161,"AAAAAGe+/2k=")</f>
        <v>#VALUE!</v>
      </c>
      <c r="DC39" t="e">
        <f>AND('2015'!AJ161,"AAAAAGe+/2o=")</f>
        <v>#VALUE!</v>
      </c>
      <c r="DD39" t="e">
        <f>AND('2015'!AK161,"AAAAAGe+/2s=")</f>
        <v>#VALUE!</v>
      </c>
      <c r="DE39" t="e">
        <f>AND('2015'!AL161,"AAAAAGe+/2w=")</f>
        <v>#VALUE!</v>
      </c>
      <c r="DF39" t="e">
        <f>AND('2015'!AM161,"AAAAAGe+/20=")</f>
        <v>#VALUE!</v>
      </c>
      <c r="DG39" t="e">
        <f>AND('2015'!AN161,"AAAAAGe+/24=")</f>
        <v>#VALUE!</v>
      </c>
      <c r="DH39" t="e">
        <f>AND('2015'!AO161,"AAAAAGe+/28=")</f>
        <v>#VALUE!</v>
      </c>
      <c r="DI39" t="e">
        <f>AND('2015'!AP161,"AAAAAGe+/3A=")</f>
        <v>#VALUE!</v>
      </c>
      <c r="DJ39" t="e">
        <f>AND('2015'!AQ161,"AAAAAGe+/3E=")</f>
        <v>#VALUE!</v>
      </c>
      <c r="DK39" t="e">
        <f>AND('2015'!AR161,"AAAAAGe+/3I=")</f>
        <v>#VALUE!</v>
      </c>
      <c r="DL39" t="e">
        <f>AND('2015'!AS161,"AAAAAGe+/3M=")</f>
        <v>#VALUE!</v>
      </c>
      <c r="DM39" t="e">
        <f>AND('2015'!AT161,"AAAAAGe+/3Q=")</f>
        <v>#VALUE!</v>
      </c>
      <c r="DN39" t="e">
        <f>AND('2015'!#REF!,"AAAAAGe+/3U=")</f>
        <v>#REF!</v>
      </c>
      <c r="DO39" t="e">
        <f>AND('2015'!AU161,"AAAAAGe+/3Y=")</f>
        <v>#VALUE!</v>
      </c>
      <c r="DP39" t="e">
        <f>AND('2015'!AV161,"AAAAAGe+/3c=")</f>
        <v>#VALUE!</v>
      </c>
      <c r="DQ39" t="e">
        <f>AND('2015'!AW161,"AAAAAGe+/3g=")</f>
        <v>#VALUE!</v>
      </c>
      <c r="DR39" t="e">
        <f>AND('2015'!AX161,"AAAAAGe+/3k=")</f>
        <v>#VALUE!</v>
      </c>
      <c r="DS39" t="e">
        <f>AND('2015'!AY161,"AAAAAGe+/3o=")</f>
        <v>#VALUE!</v>
      </c>
      <c r="DT39" t="e">
        <f>AND('2015'!AZ161,"AAAAAGe+/3s=")</f>
        <v>#VALUE!</v>
      </c>
      <c r="DU39" t="e">
        <f>AND('2015'!BA161,"AAAAAGe+/3w=")</f>
        <v>#VALUE!</v>
      </c>
      <c r="DV39" t="e">
        <f>AND('2015'!BB161,"AAAAAGe+/30=")</f>
        <v>#VALUE!</v>
      </c>
      <c r="DW39" t="e">
        <f>AND('2015'!BC161,"AAAAAGe+/34=")</f>
        <v>#VALUE!</v>
      </c>
      <c r="DX39" t="e">
        <f>AND('2015'!BD161,"AAAAAGe+/38=")</f>
        <v>#VALUE!</v>
      </c>
      <c r="DY39" t="e">
        <f>AND('2015'!BE161,"AAAAAGe+/4A=")</f>
        <v>#VALUE!</v>
      </c>
      <c r="DZ39" t="e">
        <f>AND('2015'!BF161,"AAAAAGe+/4E=")</f>
        <v>#VALUE!</v>
      </c>
      <c r="EA39" t="e">
        <f>AND('2015'!BG161,"AAAAAGe+/4I=")</f>
        <v>#VALUE!</v>
      </c>
      <c r="EB39" t="e">
        <f>AND('2015'!BH161,"AAAAAGe+/4M=")</f>
        <v>#VALUE!</v>
      </c>
      <c r="EC39" t="e">
        <f>AND('2015'!BI161,"AAAAAGe+/4Q=")</f>
        <v>#VALUE!</v>
      </c>
      <c r="ED39" t="e">
        <f>AND('2015'!#REF!,"AAAAAGe+/4U=")</f>
        <v>#REF!</v>
      </c>
      <c r="EE39" t="e">
        <f>AND('2015'!BJ161,"AAAAAGe+/4Y=")</f>
        <v>#VALUE!</v>
      </c>
      <c r="EF39" t="e">
        <f>AND('2015'!BK161,"AAAAAGe+/4c=")</f>
        <v>#VALUE!</v>
      </c>
      <c r="EG39" t="e">
        <f>AND('2015'!BL161,"AAAAAGe+/4g=")</f>
        <v>#VALUE!</v>
      </c>
      <c r="EH39" t="e">
        <f>AND('2015'!BM161,"AAAAAGe+/4k=")</f>
        <v>#VALUE!</v>
      </c>
      <c r="EI39" t="e">
        <f>AND('2015'!BY161,"AAAAAGe+/4o=")</f>
        <v>#VALUE!</v>
      </c>
      <c r="EJ39">
        <f>IF('2015'!162:162,"AAAAAGe+/4s=",0)</f>
        <v>0</v>
      </c>
      <c r="EK39" t="e">
        <f>AND('2015'!A162,"AAAAAGe+/4w=")</f>
        <v>#VALUE!</v>
      </c>
      <c r="EL39" t="e">
        <f>AND('2015'!B162,"AAAAAGe+/40=")</f>
        <v>#VALUE!</v>
      </c>
      <c r="EM39" t="e">
        <f>AND('2015'!C162,"AAAAAGe+/44=")</f>
        <v>#VALUE!</v>
      </c>
      <c r="EN39" t="e">
        <f>AND('2015'!D162,"AAAAAGe+/48=")</f>
        <v>#VALUE!</v>
      </c>
      <c r="EO39" t="e">
        <f>AND('2015'!E162,"AAAAAGe+/5A=")</f>
        <v>#VALUE!</v>
      </c>
      <c r="EP39" t="e">
        <f>AND('2015'!F162,"AAAAAGe+/5E=")</f>
        <v>#VALUE!</v>
      </c>
      <c r="EQ39" t="e">
        <f>AND('2015'!G162,"AAAAAGe+/5I=")</f>
        <v>#VALUE!</v>
      </c>
      <c r="ER39" t="e">
        <f>AND('2015'!H162,"AAAAAGe+/5M=")</f>
        <v>#VALUE!</v>
      </c>
      <c r="ES39" t="e">
        <f>AND('2015'!I162,"AAAAAGe+/5Q=")</f>
        <v>#VALUE!</v>
      </c>
      <c r="ET39" t="e">
        <f>AND('2015'!J162,"AAAAAGe+/5U=")</f>
        <v>#VALUE!</v>
      </c>
      <c r="EU39" t="e">
        <f>AND('2015'!K162,"AAAAAGe+/5Y=")</f>
        <v>#VALUE!</v>
      </c>
      <c r="EV39" t="e">
        <f>AND('2015'!L162,"AAAAAGe+/5c=")</f>
        <v>#VALUE!</v>
      </c>
      <c r="EW39" t="e">
        <f>AND('2015'!M162,"AAAAAGe+/5g=")</f>
        <v>#VALUE!</v>
      </c>
      <c r="EX39" t="e">
        <f>AND('2015'!N162,"AAAAAGe+/5k=")</f>
        <v>#VALUE!</v>
      </c>
      <c r="EY39" t="e">
        <f>AND('2015'!O162,"AAAAAGe+/5o=")</f>
        <v>#VALUE!</v>
      </c>
      <c r="EZ39" t="e">
        <f>AND('2015'!P162,"AAAAAGe+/5s=")</f>
        <v>#VALUE!</v>
      </c>
      <c r="FA39" t="e">
        <f>AND('2015'!Q162,"AAAAAGe+/5w=")</f>
        <v>#VALUE!</v>
      </c>
      <c r="FB39" t="e">
        <f>AND('2015'!R162,"AAAAAGe+/50=")</f>
        <v>#VALUE!</v>
      </c>
      <c r="FC39" t="e">
        <f>AND('2015'!S162,"AAAAAGe+/54=")</f>
        <v>#VALUE!</v>
      </c>
      <c r="FD39" t="e">
        <f>AND('2015'!T162,"AAAAAGe+/58=")</f>
        <v>#VALUE!</v>
      </c>
      <c r="FE39" t="e">
        <f>AND('2015'!U162,"AAAAAGe+/6A=")</f>
        <v>#VALUE!</v>
      </c>
      <c r="FF39" t="e">
        <f>AND('2015'!V162,"AAAAAGe+/6E=")</f>
        <v>#VALUE!</v>
      </c>
      <c r="FG39" t="e">
        <f>AND('2015'!W162,"AAAAAGe+/6I=")</f>
        <v>#VALUE!</v>
      </c>
      <c r="FH39" t="e">
        <f>AND('2015'!X162,"AAAAAGe+/6M=")</f>
        <v>#VALUE!</v>
      </c>
      <c r="FI39" t="e">
        <f>AND('2015'!Y162,"AAAAAGe+/6Q=")</f>
        <v>#VALUE!</v>
      </c>
      <c r="FJ39" t="e">
        <f>AND('2015'!Z162,"AAAAAGe+/6U=")</f>
        <v>#VALUE!</v>
      </c>
      <c r="FK39" t="e">
        <f>AND('2015'!AA162,"AAAAAGe+/6Y=")</f>
        <v>#VALUE!</v>
      </c>
      <c r="FL39" t="e">
        <f>AND('2015'!AB162,"AAAAAGe+/6c=")</f>
        <v>#VALUE!</v>
      </c>
      <c r="FM39" t="e">
        <f>AND('2015'!AC162,"AAAAAGe+/6g=")</f>
        <v>#VALUE!</v>
      </c>
      <c r="FN39" t="e">
        <f>AND('2015'!AD162,"AAAAAGe+/6k=")</f>
        <v>#VALUE!</v>
      </c>
      <c r="FO39" t="e">
        <f>AND('2015'!AE162,"AAAAAGe+/6o=")</f>
        <v>#VALUE!</v>
      </c>
      <c r="FP39" t="e">
        <f>AND('2015'!AF162,"AAAAAGe+/6s=")</f>
        <v>#VALUE!</v>
      </c>
      <c r="FQ39" t="e">
        <f>AND('2015'!AG162,"AAAAAGe+/6w=")</f>
        <v>#VALUE!</v>
      </c>
      <c r="FR39" t="e">
        <f>AND('2015'!AH162,"AAAAAGe+/60=")</f>
        <v>#VALUE!</v>
      </c>
      <c r="FS39" t="e">
        <f>AND('2015'!AI162,"AAAAAGe+/64=")</f>
        <v>#VALUE!</v>
      </c>
      <c r="FT39" t="e">
        <f>AND('2015'!AJ162,"AAAAAGe+/68=")</f>
        <v>#VALUE!</v>
      </c>
      <c r="FU39" t="e">
        <f>AND('2015'!AK162,"AAAAAGe+/7A=")</f>
        <v>#VALUE!</v>
      </c>
      <c r="FV39" t="e">
        <f>AND('2015'!AL162,"AAAAAGe+/7E=")</f>
        <v>#VALUE!</v>
      </c>
      <c r="FW39" t="e">
        <f>AND('2015'!AM162,"AAAAAGe+/7I=")</f>
        <v>#VALUE!</v>
      </c>
      <c r="FX39" t="e">
        <f>AND('2015'!AN162,"AAAAAGe+/7M=")</f>
        <v>#VALUE!</v>
      </c>
      <c r="FY39" t="e">
        <f>AND('2015'!AO162,"AAAAAGe+/7Q=")</f>
        <v>#VALUE!</v>
      </c>
      <c r="FZ39" t="e">
        <f>AND('2015'!AP162,"AAAAAGe+/7U=")</f>
        <v>#VALUE!</v>
      </c>
      <c r="GA39" t="e">
        <f>AND('2015'!AQ162,"AAAAAGe+/7Y=")</f>
        <v>#VALUE!</v>
      </c>
      <c r="GB39" t="e">
        <f>AND('2015'!AR162,"AAAAAGe+/7c=")</f>
        <v>#VALUE!</v>
      </c>
      <c r="GC39" t="e">
        <f>AND('2015'!AS162,"AAAAAGe+/7g=")</f>
        <v>#VALUE!</v>
      </c>
      <c r="GD39" t="e">
        <f>AND('2015'!AT162,"AAAAAGe+/7k=")</f>
        <v>#VALUE!</v>
      </c>
      <c r="GE39" t="e">
        <f>AND('2015'!#REF!,"AAAAAGe+/7o=")</f>
        <v>#REF!</v>
      </c>
      <c r="GF39" t="e">
        <f>AND('2015'!AU162,"AAAAAGe+/7s=")</f>
        <v>#VALUE!</v>
      </c>
      <c r="GG39" t="e">
        <f>AND('2015'!AV162,"AAAAAGe+/7w=")</f>
        <v>#VALUE!</v>
      </c>
      <c r="GH39" t="e">
        <f>AND('2015'!AW162,"AAAAAGe+/70=")</f>
        <v>#VALUE!</v>
      </c>
      <c r="GI39" t="e">
        <f>AND('2015'!AX162,"AAAAAGe+/74=")</f>
        <v>#VALUE!</v>
      </c>
      <c r="GJ39" t="e">
        <f>AND('2015'!AY162,"AAAAAGe+/78=")</f>
        <v>#VALUE!</v>
      </c>
      <c r="GK39" t="e">
        <f>AND('2015'!AZ162,"AAAAAGe+/8A=")</f>
        <v>#VALUE!</v>
      </c>
      <c r="GL39" t="e">
        <f>AND('2015'!BA162,"AAAAAGe+/8E=")</f>
        <v>#VALUE!</v>
      </c>
      <c r="GM39" t="e">
        <f>AND('2015'!BB162,"AAAAAGe+/8I=")</f>
        <v>#VALUE!</v>
      </c>
      <c r="GN39" t="e">
        <f>AND('2015'!BC162,"AAAAAGe+/8M=")</f>
        <v>#VALUE!</v>
      </c>
      <c r="GO39" t="e">
        <f>AND('2015'!BD162,"AAAAAGe+/8Q=")</f>
        <v>#VALUE!</v>
      </c>
      <c r="GP39" t="e">
        <f>AND('2015'!BE162,"AAAAAGe+/8U=")</f>
        <v>#VALUE!</v>
      </c>
      <c r="GQ39" t="e">
        <f>AND('2015'!BF162,"AAAAAGe+/8Y=")</f>
        <v>#VALUE!</v>
      </c>
      <c r="GR39" t="e">
        <f>AND('2015'!BG162,"AAAAAGe+/8c=")</f>
        <v>#VALUE!</v>
      </c>
      <c r="GS39" t="e">
        <f>AND('2015'!BH162,"AAAAAGe+/8g=")</f>
        <v>#VALUE!</v>
      </c>
      <c r="GT39" t="e">
        <f>AND('2015'!BI162,"AAAAAGe+/8k=")</f>
        <v>#VALUE!</v>
      </c>
      <c r="GU39" t="e">
        <f>AND('2015'!#REF!,"AAAAAGe+/8o=")</f>
        <v>#REF!</v>
      </c>
      <c r="GV39" t="e">
        <f>AND('2015'!BJ162,"AAAAAGe+/8s=")</f>
        <v>#VALUE!</v>
      </c>
      <c r="GW39" t="e">
        <f>AND('2015'!BK162,"AAAAAGe+/8w=")</f>
        <v>#VALUE!</v>
      </c>
      <c r="GX39" t="e">
        <f>AND('2015'!BL162,"AAAAAGe+/80=")</f>
        <v>#VALUE!</v>
      </c>
      <c r="GY39" t="e">
        <f>AND('2015'!BM162,"AAAAAGe+/84=")</f>
        <v>#VALUE!</v>
      </c>
      <c r="GZ39" t="e">
        <f>AND('2015'!BY162,"AAAAAGe+/88=")</f>
        <v>#VALUE!</v>
      </c>
      <c r="HA39">
        <f>IF('2015'!163:163,"AAAAAGe+/9A=",0)</f>
        <v>0</v>
      </c>
      <c r="HB39" t="e">
        <f>AND('2015'!A163,"AAAAAGe+/9E=")</f>
        <v>#VALUE!</v>
      </c>
      <c r="HC39" t="e">
        <f>AND('2015'!B163,"AAAAAGe+/9I=")</f>
        <v>#VALUE!</v>
      </c>
      <c r="HD39" t="e">
        <f>AND('2015'!C163,"AAAAAGe+/9M=")</f>
        <v>#VALUE!</v>
      </c>
      <c r="HE39" t="e">
        <f>AND('2015'!D163,"AAAAAGe+/9Q=")</f>
        <v>#VALUE!</v>
      </c>
      <c r="HF39" t="e">
        <f>AND('2015'!E163,"AAAAAGe+/9U=")</f>
        <v>#VALUE!</v>
      </c>
      <c r="HG39" t="e">
        <f>AND('2015'!F163,"AAAAAGe+/9Y=")</f>
        <v>#VALUE!</v>
      </c>
      <c r="HH39" t="e">
        <f>AND('2015'!G163,"AAAAAGe+/9c=")</f>
        <v>#VALUE!</v>
      </c>
      <c r="HI39" t="e">
        <f>AND('2015'!H163,"AAAAAGe+/9g=")</f>
        <v>#VALUE!</v>
      </c>
      <c r="HJ39" t="e">
        <f>AND('2015'!I163,"AAAAAGe+/9k=")</f>
        <v>#VALUE!</v>
      </c>
      <c r="HK39" t="e">
        <f>AND('2015'!J163,"AAAAAGe+/9o=")</f>
        <v>#VALUE!</v>
      </c>
      <c r="HL39" t="e">
        <f>AND('2015'!K163,"AAAAAGe+/9s=")</f>
        <v>#VALUE!</v>
      </c>
      <c r="HM39" t="e">
        <f>AND('2015'!L163,"AAAAAGe+/9w=")</f>
        <v>#VALUE!</v>
      </c>
      <c r="HN39" t="e">
        <f>AND('2015'!M163,"AAAAAGe+/90=")</f>
        <v>#VALUE!</v>
      </c>
      <c r="HO39" t="e">
        <f>AND('2015'!N163,"AAAAAGe+/94=")</f>
        <v>#VALUE!</v>
      </c>
      <c r="HP39" t="e">
        <f>AND('2015'!O163,"AAAAAGe+/98=")</f>
        <v>#VALUE!</v>
      </c>
      <c r="HQ39" t="e">
        <f>AND('2015'!P163,"AAAAAGe+/+A=")</f>
        <v>#VALUE!</v>
      </c>
      <c r="HR39" t="e">
        <f>AND('2015'!Q163,"AAAAAGe+/+E=")</f>
        <v>#VALUE!</v>
      </c>
      <c r="HS39" t="e">
        <f>AND('2015'!R163,"AAAAAGe+/+I=")</f>
        <v>#VALUE!</v>
      </c>
      <c r="HT39" t="e">
        <f>AND('2015'!S163,"AAAAAGe+/+M=")</f>
        <v>#VALUE!</v>
      </c>
      <c r="HU39" t="e">
        <f>AND('2015'!T163,"AAAAAGe+/+Q=")</f>
        <v>#VALUE!</v>
      </c>
      <c r="HV39" t="e">
        <f>AND('2015'!U163,"AAAAAGe+/+U=")</f>
        <v>#VALUE!</v>
      </c>
      <c r="HW39" t="e">
        <f>AND('2015'!V163,"AAAAAGe+/+Y=")</f>
        <v>#VALUE!</v>
      </c>
      <c r="HX39" t="e">
        <f>AND('2015'!W163,"AAAAAGe+/+c=")</f>
        <v>#VALUE!</v>
      </c>
      <c r="HY39" t="e">
        <f>AND('2015'!X163,"AAAAAGe+/+g=")</f>
        <v>#VALUE!</v>
      </c>
      <c r="HZ39" t="e">
        <f>AND('2015'!Y163,"AAAAAGe+/+k=")</f>
        <v>#VALUE!</v>
      </c>
      <c r="IA39" t="e">
        <f>AND('2015'!Z163,"AAAAAGe+/+o=")</f>
        <v>#VALUE!</v>
      </c>
      <c r="IB39" t="e">
        <f>AND('2015'!AA163,"AAAAAGe+/+s=")</f>
        <v>#VALUE!</v>
      </c>
      <c r="IC39" t="e">
        <f>AND('2015'!AB163,"AAAAAGe+/+w=")</f>
        <v>#VALUE!</v>
      </c>
      <c r="ID39" t="e">
        <f>AND('2015'!AC163,"AAAAAGe+/+0=")</f>
        <v>#VALUE!</v>
      </c>
      <c r="IE39" t="e">
        <f>AND('2015'!AD163,"AAAAAGe+/+4=")</f>
        <v>#VALUE!</v>
      </c>
      <c r="IF39" t="e">
        <f>AND('2015'!AE163,"AAAAAGe+/+8=")</f>
        <v>#VALUE!</v>
      </c>
      <c r="IG39" t="e">
        <f>AND('2015'!AF163,"AAAAAGe+//A=")</f>
        <v>#VALUE!</v>
      </c>
      <c r="IH39" t="e">
        <f>AND('2015'!AG163,"AAAAAGe+//E=")</f>
        <v>#VALUE!</v>
      </c>
      <c r="II39" t="e">
        <f>AND('2015'!AH163,"AAAAAGe+//I=")</f>
        <v>#VALUE!</v>
      </c>
      <c r="IJ39" t="e">
        <f>AND('2015'!AI163,"AAAAAGe+//M=")</f>
        <v>#VALUE!</v>
      </c>
      <c r="IK39" t="e">
        <f>AND('2015'!AJ163,"AAAAAGe+//Q=")</f>
        <v>#VALUE!</v>
      </c>
      <c r="IL39" t="e">
        <f>AND('2015'!AK163,"AAAAAGe+//U=")</f>
        <v>#VALUE!</v>
      </c>
      <c r="IM39" t="e">
        <f>AND('2015'!AL163,"AAAAAGe+//Y=")</f>
        <v>#VALUE!</v>
      </c>
      <c r="IN39" t="e">
        <f>AND('2015'!AM163,"AAAAAGe+//c=")</f>
        <v>#VALUE!</v>
      </c>
      <c r="IO39" t="e">
        <f>AND('2015'!AN163,"AAAAAGe+//g=")</f>
        <v>#VALUE!</v>
      </c>
      <c r="IP39" t="e">
        <f>AND('2015'!AO163,"AAAAAGe+//k=")</f>
        <v>#VALUE!</v>
      </c>
      <c r="IQ39" t="e">
        <f>AND('2015'!AP163,"AAAAAGe+//o=")</f>
        <v>#VALUE!</v>
      </c>
      <c r="IR39" t="e">
        <f>AND('2015'!AQ163,"AAAAAGe+//s=")</f>
        <v>#VALUE!</v>
      </c>
      <c r="IS39" t="e">
        <f>AND('2015'!AR163,"AAAAAGe+//w=")</f>
        <v>#VALUE!</v>
      </c>
      <c r="IT39" t="e">
        <f>AND('2015'!AS163,"AAAAAGe+//0=")</f>
        <v>#VALUE!</v>
      </c>
      <c r="IU39" t="e">
        <f>AND('2015'!AT163,"AAAAAGe+//4=")</f>
        <v>#VALUE!</v>
      </c>
      <c r="IV39" t="e">
        <f>AND('2015'!#REF!,"AAAAAGe+//8=")</f>
        <v>#REF!</v>
      </c>
    </row>
    <row r="40" spans="1:256" x14ac:dyDescent="0.25">
      <c r="A40" t="e">
        <f>AND('2015'!AU163,"AAAAAGf9KQA=")</f>
        <v>#VALUE!</v>
      </c>
      <c r="B40" t="e">
        <f>AND('2015'!AV163,"AAAAAGf9KQE=")</f>
        <v>#VALUE!</v>
      </c>
      <c r="C40" t="e">
        <f>AND('2015'!AW163,"AAAAAGf9KQI=")</f>
        <v>#VALUE!</v>
      </c>
      <c r="D40" t="e">
        <f>AND('2015'!AX163,"AAAAAGf9KQM=")</f>
        <v>#VALUE!</v>
      </c>
      <c r="E40" t="e">
        <f>AND('2015'!AY163,"AAAAAGf9KQQ=")</f>
        <v>#VALUE!</v>
      </c>
      <c r="F40" t="e">
        <f>AND('2015'!AZ163,"AAAAAGf9KQU=")</f>
        <v>#VALUE!</v>
      </c>
      <c r="G40" t="e">
        <f>AND('2015'!BA163,"AAAAAGf9KQY=")</f>
        <v>#VALUE!</v>
      </c>
      <c r="H40" t="e">
        <f>AND('2015'!BB163,"AAAAAGf9KQc=")</f>
        <v>#VALUE!</v>
      </c>
      <c r="I40" t="e">
        <f>AND('2015'!BC163,"AAAAAGf9KQg=")</f>
        <v>#VALUE!</v>
      </c>
      <c r="J40" t="e">
        <f>AND('2015'!BD163,"AAAAAGf9KQk=")</f>
        <v>#VALUE!</v>
      </c>
      <c r="K40" t="e">
        <f>AND('2015'!BE163,"AAAAAGf9KQo=")</f>
        <v>#VALUE!</v>
      </c>
      <c r="L40" t="e">
        <f>AND('2015'!BF163,"AAAAAGf9KQs=")</f>
        <v>#VALUE!</v>
      </c>
      <c r="M40" t="e">
        <f>AND('2015'!BG163,"AAAAAGf9KQw=")</f>
        <v>#VALUE!</v>
      </c>
      <c r="N40" t="e">
        <f>AND('2015'!BH163,"AAAAAGf9KQ0=")</f>
        <v>#VALUE!</v>
      </c>
      <c r="O40" t="e">
        <f>AND('2015'!BI163,"AAAAAGf9KQ4=")</f>
        <v>#VALUE!</v>
      </c>
      <c r="P40" t="e">
        <f>AND('2015'!#REF!,"AAAAAGf9KQ8=")</f>
        <v>#REF!</v>
      </c>
      <c r="Q40" t="e">
        <f>AND('2015'!BJ163,"AAAAAGf9KRA=")</f>
        <v>#VALUE!</v>
      </c>
      <c r="R40" t="e">
        <f>AND('2015'!BK163,"AAAAAGf9KRE=")</f>
        <v>#VALUE!</v>
      </c>
      <c r="S40" t="e">
        <f>AND('2015'!BL163,"AAAAAGf9KRI=")</f>
        <v>#VALUE!</v>
      </c>
      <c r="T40" t="e">
        <f>AND('2015'!BM163,"AAAAAGf9KRM=")</f>
        <v>#VALUE!</v>
      </c>
      <c r="U40" t="e">
        <f>AND('2015'!BY163,"AAAAAGf9KRQ=")</f>
        <v>#VALUE!</v>
      </c>
      <c r="V40">
        <f>IF('2015'!164:164,"AAAAAGf9KRU=",0)</f>
        <v>0</v>
      </c>
      <c r="W40" t="e">
        <f>AND('2015'!A164,"AAAAAGf9KRY=")</f>
        <v>#VALUE!</v>
      </c>
      <c r="X40" t="e">
        <f>AND('2015'!B164,"AAAAAGf9KRc=")</f>
        <v>#VALUE!</v>
      </c>
      <c r="Y40" t="e">
        <f>AND('2015'!C164,"AAAAAGf9KRg=")</f>
        <v>#VALUE!</v>
      </c>
      <c r="Z40" t="e">
        <f>AND('2015'!D164,"AAAAAGf9KRk=")</f>
        <v>#VALUE!</v>
      </c>
      <c r="AA40" t="e">
        <f>AND('2015'!E164,"AAAAAGf9KRo=")</f>
        <v>#VALUE!</v>
      </c>
      <c r="AB40" t="e">
        <f>AND('2015'!F164,"AAAAAGf9KRs=")</f>
        <v>#VALUE!</v>
      </c>
      <c r="AC40" t="e">
        <f>AND('2015'!G164,"AAAAAGf9KRw=")</f>
        <v>#VALUE!</v>
      </c>
      <c r="AD40" t="e">
        <f>AND('2015'!H164,"AAAAAGf9KR0=")</f>
        <v>#VALUE!</v>
      </c>
      <c r="AE40" t="e">
        <f>AND('2015'!I164,"AAAAAGf9KR4=")</f>
        <v>#VALUE!</v>
      </c>
      <c r="AF40" t="e">
        <f>AND('2015'!J164,"AAAAAGf9KR8=")</f>
        <v>#VALUE!</v>
      </c>
      <c r="AG40" t="e">
        <f>AND('2015'!K164,"AAAAAGf9KSA=")</f>
        <v>#VALUE!</v>
      </c>
      <c r="AH40" t="e">
        <f>AND('2015'!L164,"AAAAAGf9KSE=")</f>
        <v>#VALUE!</v>
      </c>
      <c r="AI40" t="e">
        <f>AND('2015'!M164,"AAAAAGf9KSI=")</f>
        <v>#VALUE!</v>
      </c>
      <c r="AJ40" t="e">
        <f>AND('2015'!N164,"AAAAAGf9KSM=")</f>
        <v>#VALUE!</v>
      </c>
      <c r="AK40" t="e">
        <f>AND('2015'!O164,"AAAAAGf9KSQ=")</f>
        <v>#VALUE!</v>
      </c>
      <c r="AL40" t="e">
        <f>AND('2015'!P164,"AAAAAGf9KSU=")</f>
        <v>#VALUE!</v>
      </c>
      <c r="AM40" t="e">
        <f>AND('2015'!Q164,"AAAAAGf9KSY=")</f>
        <v>#VALUE!</v>
      </c>
      <c r="AN40" t="e">
        <f>AND('2015'!R164,"AAAAAGf9KSc=")</f>
        <v>#VALUE!</v>
      </c>
      <c r="AO40" t="e">
        <f>AND('2015'!S164,"AAAAAGf9KSg=")</f>
        <v>#VALUE!</v>
      </c>
      <c r="AP40" t="e">
        <f>AND('2015'!T164,"AAAAAGf9KSk=")</f>
        <v>#VALUE!</v>
      </c>
      <c r="AQ40" t="e">
        <f>AND('2015'!U164,"AAAAAGf9KSo=")</f>
        <v>#VALUE!</v>
      </c>
      <c r="AR40" t="e">
        <f>AND('2015'!V164,"AAAAAGf9KSs=")</f>
        <v>#VALUE!</v>
      </c>
      <c r="AS40" t="e">
        <f>AND('2015'!W164,"AAAAAGf9KSw=")</f>
        <v>#VALUE!</v>
      </c>
      <c r="AT40" t="e">
        <f>AND('2015'!X164,"AAAAAGf9KS0=")</f>
        <v>#VALUE!</v>
      </c>
      <c r="AU40" t="e">
        <f>AND('2015'!Y164,"AAAAAGf9KS4=")</f>
        <v>#VALUE!</v>
      </c>
      <c r="AV40" t="e">
        <f>AND('2015'!Z164,"AAAAAGf9KS8=")</f>
        <v>#VALUE!</v>
      </c>
      <c r="AW40" t="e">
        <f>AND('2015'!AA164,"AAAAAGf9KTA=")</f>
        <v>#VALUE!</v>
      </c>
      <c r="AX40" t="e">
        <f>AND('2015'!AB164,"AAAAAGf9KTE=")</f>
        <v>#VALUE!</v>
      </c>
      <c r="AY40" t="e">
        <f>AND('2015'!AC164,"AAAAAGf9KTI=")</f>
        <v>#VALUE!</v>
      </c>
      <c r="AZ40" t="e">
        <f>AND('2015'!AD164,"AAAAAGf9KTM=")</f>
        <v>#VALUE!</v>
      </c>
      <c r="BA40" t="e">
        <f>AND('2015'!AE164,"AAAAAGf9KTQ=")</f>
        <v>#VALUE!</v>
      </c>
      <c r="BB40" t="e">
        <f>AND('2015'!AF164,"AAAAAGf9KTU=")</f>
        <v>#VALUE!</v>
      </c>
      <c r="BC40" t="e">
        <f>AND('2015'!AG164,"AAAAAGf9KTY=")</f>
        <v>#VALUE!</v>
      </c>
      <c r="BD40" t="e">
        <f>AND('2015'!AH164,"AAAAAGf9KTc=")</f>
        <v>#VALUE!</v>
      </c>
      <c r="BE40" t="e">
        <f>AND('2015'!AI164,"AAAAAGf9KTg=")</f>
        <v>#VALUE!</v>
      </c>
      <c r="BF40" t="e">
        <f>AND('2015'!AJ164,"AAAAAGf9KTk=")</f>
        <v>#VALUE!</v>
      </c>
      <c r="BG40" t="e">
        <f>AND('2015'!AK164,"AAAAAGf9KTo=")</f>
        <v>#VALUE!</v>
      </c>
      <c r="BH40" t="e">
        <f>AND('2015'!AL164,"AAAAAGf9KTs=")</f>
        <v>#VALUE!</v>
      </c>
      <c r="BI40" t="e">
        <f>AND('2015'!AM164,"AAAAAGf9KTw=")</f>
        <v>#VALUE!</v>
      </c>
      <c r="BJ40" t="e">
        <f>AND('2015'!AN164,"AAAAAGf9KT0=")</f>
        <v>#VALUE!</v>
      </c>
      <c r="BK40" t="e">
        <f>AND('2015'!AO164,"AAAAAGf9KT4=")</f>
        <v>#VALUE!</v>
      </c>
      <c r="BL40" t="e">
        <f>AND('2015'!AP164,"AAAAAGf9KT8=")</f>
        <v>#VALUE!</v>
      </c>
      <c r="BM40" t="e">
        <f>AND('2015'!AQ164,"AAAAAGf9KUA=")</f>
        <v>#VALUE!</v>
      </c>
      <c r="BN40" t="e">
        <f>AND('2015'!AR164,"AAAAAGf9KUE=")</f>
        <v>#VALUE!</v>
      </c>
      <c r="BO40" t="e">
        <f>AND('2015'!AS164,"AAAAAGf9KUI=")</f>
        <v>#VALUE!</v>
      </c>
      <c r="BP40" t="e">
        <f>AND('2015'!AT164,"AAAAAGf9KUM=")</f>
        <v>#VALUE!</v>
      </c>
      <c r="BQ40" t="e">
        <f>AND('2015'!#REF!,"AAAAAGf9KUQ=")</f>
        <v>#REF!</v>
      </c>
      <c r="BR40" t="e">
        <f>AND('2015'!AU164,"AAAAAGf9KUU=")</f>
        <v>#VALUE!</v>
      </c>
      <c r="BS40" t="e">
        <f>AND('2015'!AV164,"AAAAAGf9KUY=")</f>
        <v>#VALUE!</v>
      </c>
      <c r="BT40" t="e">
        <f>AND('2015'!AW164,"AAAAAGf9KUc=")</f>
        <v>#VALUE!</v>
      </c>
      <c r="BU40" t="e">
        <f>AND('2015'!AX164,"AAAAAGf9KUg=")</f>
        <v>#VALUE!</v>
      </c>
      <c r="BV40" t="e">
        <f>AND('2015'!AY164,"AAAAAGf9KUk=")</f>
        <v>#VALUE!</v>
      </c>
      <c r="BW40" t="e">
        <f>AND('2015'!AZ164,"AAAAAGf9KUo=")</f>
        <v>#VALUE!</v>
      </c>
      <c r="BX40" t="e">
        <f>AND('2015'!BA164,"AAAAAGf9KUs=")</f>
        <v>#VALUE!</v>
      </c>
      <c r="BY40" t="e">
        <f>AND('2015'!BB164,"AAAAAGf9KUw=")</f>
        <v>#VALUE!</v>
      </c>
      <c r="BZ40" t="e">
        <f>AND('2015'!BC164,"AAAAAGf9KU0=")</f>
        <v>#VALUE!</v>
      </c>
      <c r="CA40" t="e">
        <f>AND('2015'!BD164,"AAAAAGf9KU4=")</f>
        <v>#VALUE!</v>
      </c>
      <c r="CB40" t="e">
        <f>AND('2015'!BE164,"AAAAAGf9KU8=")</f>
        <v>#VALUE!</v>
      </c>
      <c r="CC40" t="e">
        <f>AND('2015'!BF164,"AAAAAGf9KVA=")</f>
        <v>#VALUE!</v>
      </c>
      <c r="CD40" t="e">
        <f>AND('2015'!BG164,"AAAAAGf9KVE=")</f>
        <v>#VALUE!</v>
      </c>
      <c r="CE40" t="e">
        <f>AND('2015'!BH164,"AAAAAGf9KVI=")</f>
        <v>#VALUE!</v>
      </c>
      <c r="CF40" t="e">
        <f>AND('2015'!BI164,"AAAAAGf9KVM=")</f>
        <v>#VALUE!</v>
      </c>
      <c r="CG40" t="e">
        <f>AND('2015'!#REF!,"AAAAAGf9KVQ=")</f>
        <v>#REF!</v>
      </c>
      <c r="CH40" t="e">
        <f>AND('2015'!BJ164,"AAAAAGf9KVU=")</f>
        <v>#VALUE!</v>
      </c>
      <c r="CI40" t="e">
        <f>AND('2015'!BK164,"AAAAAGf9KVY=")</f>
        <v>#VALUE!</v>
      </c>
      <c r="CJ40" t="e">
        <f>AND('2015'!BL164,"AAAAAGf9KVc=")</f>
        <v>#VALUE!</v>
      </c>
      <c r="CK40" t="e">
        <f>AND('2015'!BM164,"AAAAAGf9KVg=")</f>
        <v>#VALUE!</v>
      </c>
      <c r="CL40" t="e">
        <f>AND('2015'!BY164,"AAAAAGf9KVk=")</f>
        <v>#VALUE!</v>
      </c>
      <c r="CM40">
        <f>IF('2015'!165:165,"AAAAAGf9KVo=",0)</f>
        <v>0</v>
      </c>
      <c r="CN40" t="e">
        <f>AND('2015'!A165,"AAAAAGf9KVs=")</f>
        <v>#VALUE!</v>
      </c>
      <c r="CO40" t="e">
        <f>AND('2015'!B165,"AAAAAGf9KVw=")</f>
        <v>#VALUE!</v>
      </c>
      <c r="CP40" t="e">
        <f>AND('2015'!C165,"AAAAAGf9KV0=")</f>
        <v>#VALUE!</v>
      </c>
      <c r="CQ40" t="e">
        <f>AND('2015'!D165,"AAAAAGf9KV4=")</f>
        <v>#VALUE!</v>
      </c>
      <c r="CR40" t="e">
        <f>AND('2015'!E165,"AAAAAGf9KV8=")</f>
        <v>#VALUE!</v>
      </c>
      <c r="CS40" t="e">
        <f>AND('2015'!F165,"AAAAAGf9KWA=")</f>
        <v>#VALUE!</v>
      </c>
      <c r="CT40" t="e">
        <f>AND('2015'!G165,"AAAAAGf9KWE=")</f>
        <v>#VALUE!</v>
      </c>
      <c r="CU40" t="e">
        <f>AND('2015'!H165,"AAAAAGf9KWI=")</f>
        <v>#VALUE!</v>
      </c>
      <c r="CV40" t="e">
        <f>AND('2015'!I165,"AAAAAGf9KWM=")</f>
        <v>#VALUE!</v>
      </c>
      <c r="CW40" t="e">
        <f>AND('2015'!J165,"AAAAAGf9KWQ=")</f>
        <v>#VALUE!</v>
      </c>
      <c r="CX40" t="e">
        <f>AND('2015'!K165,"AAAAAGf9KWU=")</f>
        <v>#VALUE!</v>
      </c>
      <c r="CY40" t="e">
        <f>AND('2015'!L165,"AAAAAGf9KWY=")</f>
        <v>#VALUE!</v>
      </c>
      <c r="CZ40" t="e">
        <f>AND('2015'!M165,"AAAAAGf9KWc=")</f>
        <v>#VALUE!</v>
      </c>
      <c r="DA40" t="e">
        <f>AND('2015'!N165,"AAAAAGf9KWg=")</f>
        <v>#VALUE!</v>
      </c>
      <c r="DB40" t="e">
        <f>AND('2015'!O165,"AAAAAGf9KWk=")</f>
        <v>#VALUE!</v>
      </c>
      <c r="DC40" t="e">
        <f>AND('2015'!P165,"AAAAAGf9KWo=")</f>
        <v>#VALUE!</v>
      </c>
      <c r="DD40" t="e">
        <f>AND('2015'!Q165,"AAAAAGf9KWs=")</f>
        <v>#VALUE!</v>
      </c>
      <c r="DE40" t="e">
        <f>AND('2015'!R165,"AAAAAGf9KWw=")</f>
        <v>#VALUE!</v>
      </c>
      <c r="DF40" t="e">
        <f>AND('2015'!S165,"AAAAAGf9KW0=")</f>
        <v>#VALUE!</v>
      </c>
      <c r="DG40" t="e">
        <f>AND('2015'!T165,"AAAAAGf9KW4=")</f>
        <v>#VALUE!</v>
      </c>
      <c r="DH40" t="e">
        <f>AND('2015'!U165,"AAAAAGf9KW8=")</f>
        <v>#VALUE!</v>
      </c>
      <c r="DI40" t="e">
        <f>AND('2015'!V165,"AAAAAGf9KXA=")</f>
        <v>#VALUE!</v>
      </c>
      <c r="DJ40" t="e">
        <f>AND('2015'!W165,"AAAAAGf9KXE=")</f>
        <v>#VALUE!</v>
      </c>
      <c r="DK40" t="e">
        <f>AND('2015'!X165,"AAAAAGf9KXI=")</f>
        <v>#VALUE!</v>
      </c>
      <c r="DL40" t="e">
        <f>AND('2015'!Y165,"AAAAAGf9KXM=")</f>
        <v>#VALUE!</v>
      </c>
      <c r="DM40" t="e">
        <f>AND('2015'!Z165,"AAAAAGf9KXQ=")</f>
        <v>#VALUE!</v>
      </c>
      <c r="DN40" t="e">
        <f>AND('2015'!AA165,"AAAAAGf9KXU=")</f>
        <v>#VALUE!</v>
      </c>
      <c r="DO40" t="e">
        <f>AND('2015'!AB165,"AAAAAGf9KXY=")</f>
        <v>#VALUE!</v>
      </c>
      <c r="DP40" t="e">
        <f>AND('2015'!AC165,"AAAAAGf9KXc=")</f>
        <v>#VALUE!</v>
      </c>
      <c r="DQ40" t="e">
        <f>AND('2015'!AD165,"AAAAAGf9KXg=")</f>
        <v>#VALUE!</v>
      </c>
      <c r="DR40" t="e">
        <f>AND('2015'!AE165,"AAAAAGf9KXk=")</f>
        <v>#VALUE!</v>
      </c>
      <c r="DS40" t="e">
        <f>AND('2015'!AF165,"AAAAAGf9KXo=")</f>
        <v>#VALUE!</v>
      </c>
      <c r="DT40" t="e">
        <f>AND('2015'!AG165,"AAAAAGf9KXs=")</f>
        <v>#VALUE!</v>
      </c>
      <c r="DU40" t="e">
        <f>AND('2015'!AH165,"AAAAAGf9KXw=")</f>
        <v>#VALUE!</v>
      </c>
      <c r="DV40" t="e">
        <f>AND('2015'!AI165,"AAAAAGf9KX0=")</f>
        <v>#VALUE!</v>
      </c>
      <c r="DW40" t="e">
        <f>AND('2015'!AJ165,"AAAAAGf9KX4=")</f>
        <v>#VALUE!</v>
      </c>
      <c r="DX40" t="e">
        <f>AND('2015'!AK165,"AAAAAGf9KX8=")</f>
        <v>#VALUE!</v>
      </c>
      <c r="DY40" t="e">
        <f>AND('2015'!AL165,"AAAAAGf9KYA=")</f>
        <v>#VALUE!</v>
      </c>
      <c r="DZ40" t="e">
        <f>AND('2015'!AM165,"AAAAAGf9KYE=")</f>
        <v>#VALUE!</v>
      </c>
      <c r="EA40" t="e">
        <f>AND('2015'!AN165,"AAAAAGf9KYI=")</f>
        <v>#VALUE!</v>
      </c>
      <c r="EB40" t="e">
        <f>AND('2015'!AO165,"AAAAAGf9KYM=")</f>
        <v>#VALUE!</v>
      </c>
      <c r="EC40" t="e">
        <f>AND('2015'!AP165,"AAAAAGf9KYQ=")</f>
        <v>#VALUE!</v>
      </c>
      <c r="ED40" t="e">
        <f>AND('2015'!AQ165,"AAAAAGf9KYU=")</f>
        <v>#VALUE!</v>
      </c>
      <c r="EE40" t="e">
        <f>AND('2015'!AR165,"AAAAAGf9KYY=")</f>
        <v>#VALUE!</v>
      </c>
      <c r="EF40" t="e">
        <f>AND('2015'!AS165,"AAAAAGf9KYc=")</f>
        <v>#VALUE!</v>
      </c>
      <c r="EG40" t="e">
        <f>AND('2015'!AT165,"AAAAAGf9KYg=")</f>
        <v>#VALUE!</v>
      </c>
      <c r="EH40" t="e">
        <f>AND('2015'!#REF!,"AAAAAGf9KYk=")</f>
        <v>#REF!</v>
      </c>
      <c r="EI40" t="e">
        <f>AND('2015'!AU165,"AAAAAGf9KYo=")</f>
        <v>#VALUE!</v>
      </c>
      <c r="EJ40" t="e">
        <f>AND('2015'!AV165,"AAAAAGf9KYs=")</f>
        <v>#VALUE!</v>
      </c>
      <c r="EK40" t="e">
        <f>AND('2015'!AW165,"AAAAAGf9KYw=")</f>
        <v>#VALUE!</v>
      </c>
      <c r="EL40" t="e">
        <f>AND('2015'!AX165,"AAAAAGf9KY0=")</f>
        <v>#VALUE!</v>
      </c>
      <c r="EM40" t="e">
        <f>AND('2015'!AY165,"AAAAAGf9KY4=")</f>
        <v>#VALUE!</v>
      </c>
      <c r="EN40" t="e">
        <f>AND('2015'!AZ165,"AAAAAGf9KY8=")</f>
        <v>#VALUE!</v>
      </c>
      <c r="EO40" t="e">
        <f>AND('2015'!BA165,"AAAAAGf9KZA=")</f>
        <v>#VALUE!</v>
      </c>
      <c r="EP40" t="e">
        <f>AND('2015'!BB165,"AAAAAGf9KZE=")</f>
        <v>#VALUE!</v>
      </c>
      <c r="EQ40" t="e">
        <f>AND('2015'!BC165,"AAAAAGf9KZI=")</f>
        <v>#VALUE!</v>
      </c>
      <c r="ER40" t="e">
        <f>AND('2015'!BD165,"AAAAAGf9KZM=")</f>
        <v>#VALUE!</v>
      </c>
      <c r="ES40" t="e">
        <f>AND('2015'!BE165,"AAAAAGf9KZQ=")</f>
        <v>#VALUE!</v>
      </c>
      <c r="ET40" t="e">
        <f>AND('2015'!BF165,"AAAAAGf9KZU=")</f>
        <v>#VALUE!</v>
      </c>
      <c r="EU40" t="e">
        <f>AND('2015'!BG165,"AAAAAGf9KZY=")</f>
        <v>#VALUE!</v>
      </c>
      <c r="EV40" t="e">
        <f>AND('2015'!BH165,"AAAAAGf9KZc=")</f>
        <v>#VALUE!</v>
      </c>
      <c r="EW40" t="e">
        <f>AND('2015'!BI165,"AAAAAGf9KZg=")</f>
        <v>#VALUE!</v>
      </c>
      <c r="EX40" t="e">
        <f>AND('2015'!#REF!,"AAAAAGf9KZk=")</f>
        <v>#REF!</v>
      </c>
      <c r="EY40" t="e">
        <f>AND('2015'!BJ165,"AAAAAGf9KZo=")</f>
        <v>#VALUE!</v>
      </c>
      <c r="EZ40" t="e">
        <f>AND('2015'!BK165,"AAAAAGf9KZs=")</f>
        <v>#VALUE!</v>
      </c>
      <c r="FA40" t="e">
        <f>AND('2015'!BL165,"AAAAAGf9KZw=")</f>
        <v>#VALUE!</v>
      </c>
      <c r="FB40" t="e">
        <f>AND('2015'!BM165,"AAAAAGf9KZ0=")</f>
        <v>#VALUE!</v>
      </c>
      <c r="FC40" t="e">
        <f>AND('2015'!BY165,"AAAAAGf9KZ4=")</f>
        <v>#VALUE!</v>
      </c>
      <c r="FD40">
        <f>IF('2015'!166:166,"AAAAAGf9KZ8=",0)</f>
        <v>0</v>
      </c>
      <c r="FE40" t="e">
        <f>AND('2015'!A166,"AAAAAGf9KaA=")</f>
        <v>#VALUE!</v>
      </c>
      <c r="FF40" t="e">
        <f>AND('2015'!B166,"AAAAAGf9KaE=")</f>
        <v>#VALUE!</v>
      </c>
      <c r="FG40" t="e">
        <f>AND('2015'!C166,"AAAAAGf9KaI=")</f>
        <v>#VALUE!</v>
      </c>
      <c r="FH40" t="e">
        <f>AND('2015'!D166,"AAAAAGf9KaM=")</f>
        <v>#VALUE!</v>
      </c>
      <c r="FI40" t="e">
        <f>AND('2015'!E166,"AAAAAGf9KaQ=")</f>
        <v>#VALUE!</v>
      </c>
      <c r="FJ40" t="e">
        <f>AND('2015'!F166,"AAAAAGf9KaU=")</f>
        <v>#VALUE!</v>
      </c>
      <c r="FK40" t="e">
        <f>AND('2015'!G166,"AAAAAGf9KaY=")</f>
        <v>#VALUE!</v>
      </c>
      <c r="FL40" t="e">
        <f>AND('2015'!H166,"AAAAAGf9Kac=")</f>
        <v>#VALUE!</v>
      </c>
      <c r="FM40" t="e">
        <f>AND('2015'!I166,"AAAAAGf9Kag=")</f>
        <v>#VALUE!</v>
      </c>
      <c r="FN40" t="e">
        <f>AND('2015'!J166,"AAAAAGf9Kak=")</f>
        <v>#VALUE!</v>
      </c>
      <c r="FO40" t="e">
        <f>AND('2015'!K166,"AAAAAGf9Kao=")</f>
        <v>#VALUE!</v>
      </c>
      <c r="FP40" t="e">
        <f>AND('2015'!L166,"AAAAAGf9Kas=")</f>
        <v>#VALUE!</v>
      </c>
      <c r="FQ40" t="e">
        <f>AND('2015'!M166,"AAAAAGf9Kaw=")</f>
        <v>#VALUE!</v>
      </c>
      <c r="FR40" t="e">
        <f>AND('2015'!N166,"AAAAAGf9Ka0=")</f>
        <v>#VALUE!</v>
      </c>
      <c r="FS40" t="e">
        <f>AND('2015'!O166,"AAAAAGf9Ka4=")</f>
        <v>#VALUE!</v>
      </c>
      <c r="FT40" t="e">
        <f>AND('2015'!P166,"AAAAAGf9Ka8=")</f>
        <v>#VALUE!</v>
      </c>
      <c r="FU40" t="e">
        <f>AND('2015'!Q166,"AAAAAGf9KbA=")</f>
        <v>#VALUE!</v>
      </c>
      <c r="FV40" t="e">
        <f>AND('2015'!R166,"AAAAAGf9KbE=")</f>
        <v>#VALUE!</v>
      </c>
      <c r="FW40" t="e">
        <f>AND('2015'!S166,"AAAAAGf9KbI=")</f>
        <v>#VALUE!</v>
      </c>
      <c r="FX40" t="e">
        <f>AND('2015'!T166,"AAAAAGf9KbM=")</f>
        <v>#VALUE!</v>
      </c>
      <c r="FY40" t="e">
        <f>AND('2015'!U166,"AAAAAGf9KbQ=")</f>
        <v>#VALUE!</v>
      </c>
      <c r="FZ40" t="e">
        <f>AND('2015'!V166,"AAAAAGf9KbU=")</f>
        <v>#VALUE!</v>
      </c>
      <c r="GA40" t="e">
        <f>AND('2015'!W166,"AAAAAGf9KbY=")</f>
        <v>#VALUE!</v>
      </c>
      <c r="GB40" t="e">
        <f>AND('2015'!X166,"AAAAAGf9Kbc=")</f>
        <v>#VALUE!</v>
      </c>
      <c r="GC40" t="e">
        <f>AND('2015'!Y166,"AAAAAGf9Kbg=")</f>
        <v>#VALUE!</v>
      </c>
      <c r="GD40" t="e">
        <f>AND('2015'!Z166,"AAAAAGf9Kbk=")</f>
        <v>#VALUE!</v>
      </c>
      <c r="GE40" t="e">
        <f>AND('2015'!AA166,"AAAAAGf9Kbo=")</f>
        <v>#VALUE!</v>
      </c>
      <c r="GF40" t="e">
        <f>AND('2015'!AB166,"AAAAAGf9Kbs=")</f>
        <v>#VALUE!</v>
      </c>
      <c r="GG40" t="e">
        <f>AND('2015'!AC166,"AAAAAGf9Kbw=")</f>
        <v>#VALUE!</v>
      </c>
      <c r="GH40" t="e">
        <f>AND('2015'!AD166,"AAAAAGf9Kb0=")</f>
        <v>#VALUE!</v>
      </c>
      <c r="GI40" t="e">
        <f>AND('2015'!AE166,"AAAAAGf9Kb4=")</f>
        <v>#VALUE!</v>
      </c>
      <c r="GJ40" t="e">
        <f>AND('2015'!AF166,"AAAAAGf9Kb8=")</f>
        <v>#VALUE!</v>
      </c>
      <c r="GK40" t="e">
        <f>AND('2015'!AG166,"AAAAAGf9KcA=")</f>
        <v>#VALUE!</v>
      </c>
      <c r="GL40" t="e">
        <f>AND('2015'!AH166,"AAAAAGf9KcE=")</f>
        <v>#VALUE!</v>
      </c>
      <c r="GM40" t="e">
        <f>AND('2015'!AI166,"AAAAAGf9KcI=")</f>
        <v>#VALUE!</v>
      </c>
      <c r="GN40" t="e">
        <f>AND('2015'!AJ166,"AAAAAGf9KcM=")</f>
        <v>#VALUE!</v>
      </c>
      <c r="GO40" t="e">
        <f>AND('2015'!AK166,"AAAAAGf9KcQ=")</f>
        <v>#VALUE!</v>
      </c>
      <c r="GP40" t="e">
        <f>AND('2015'!AL166,"AAAAAGf9KcU=")</f>
        <v>#VALUE!</v>
      </c>
      <c r="GQ40" t="e">
        <f>AND('2015'!AM166,"AAAAAGf9KcY=")</f>
        <v>#VALUE!</v>
      </c>
      <c r="GR40" t="e">
        <f>AND('2015'!AN166,"AAAAAGf9Kcc=")</f>
        <v>#VALUE!</v>
      </c>
      <c r="GS40" t="e">
        <f>AND('2015'!AO166,"AAAAAGf9Kcg=")</f>
        <v>#VALUE!</v>
      </c>
      <c r="GT40" t="e">
        <f>AND('2015'!AP166,"AAAAAGf9Kck=")</f>
        <v>#VALUE!</v>
      </c>
      <c r="GU40" t="e">
        <f>AND('2015'!AQ166,"AAAAAGf9Kco=")</f>
        <v>#VALUE!</v>
      </c>
      <c r="GV40" t="e">
        <f>AND('2015'!AR166,"AAAAAGf9Kcs=")</f>
        <v>#VALUE!</v>
      </c>
      <c r="GW40" t="e">
        <f>AND('2015'!AS166,"AAAAAGf9Kcw=")</f>
        <v>#VALUE!</v>
      </c>
      <c r="GX40" t="e">
        <f>AND('2015'!AT166,"AAAAAGf9Kc0=")</f>
        <v>#VALUE!</v>
      </c>
      <c r="GY40" t="e">
        <f>AND('2015'!#REF!,"AAAAAGf9Kc4=")</f>
        <v>#REF!</v>
      </c>
      <c r="GZ40" t="e">
        <f>AND('2015'!AU166,"AAAAAGf9Kc8=")</f>
        <v>#VALUE!</v>
      </c>
      <c r="HA40" t="e">
        <f>AND('2015'!AV166,"AAAAAGf9KdA=")</f>
        <v>#VALUE!</v>
      </c>
      <c r="HB40" t="e">
        <f>AND('2015'!AW166,"AAAAAGf9KdE=")</f>
        <v>#VALUE!</v>
      </c>
      <c r="HC40" t="e">
        <f>AND('2015'!AX166,"AAAAAGf9KdI=")</f>
        <v>#VALUE!</v>
      </c>
      <c r="HD40" t="e">
        <f>AND('2015'!AY166,"AAAAAGf9KdM=")</f>
        <v>#VALUE!</v>
      </c>
      <c r="HE40" t="e">
        <f>AND('2015'!AZ166,"AAAAAGf9KdQ=")</f>
        <v>#VALUE!</v>
      </c>
      <c r="HF40" t="e">
        <f>AND('2015'!BA166,"AAAAAGf9KdU=")</f>
        <v>#VALUE!</v>
      </c>
      <c r="HG40" t="e">
        <f>AND('2015'!BB166,"AAAAAGf9KdY=")</f>
        <v>#VALUE!</v>
      </c>
      <c r="HH40" t="e">
        <f>AND('2015'!BC166,"AAAAAGf9Kdc=")</f>
        <v>#VALUE!</v>
      </c>
      <c r="HI40" t="e">
        <f>AND('2015'!BD166,"AAAAAGf9Kdg=")</f>
        <v>#VALUE!</v>
      </c>
      <c r="HJ40" t="e">
        <f>AND('2015'!BE166,"AAAAAGf9Kdk=")</f>
        <v>#VALUE!</v>
      </c>
      <c r="HK40" t="e">
        <f>AND('2015'!BF166,"AAAAAGf9Kdo=")</f>
        <v>#VALUE!</v>
      </c>
      <c r="HL40" t="e">
        <f>AND('2015'!BG166,"AAAAAGf9Kds=")</f>
        <v>#VALUE!</v>
      </c>
      <c r="HM40" t="e">
        <f>AND('2015'!BH166,"AAAAAGf9Kdw=")</f>
        <v>#VALUE!</v>
      </c>
      <c r="HN40" t="e">
        <f>AND('2015'!BI166,"AAAAAGf9Kd0=")</f>
        <v>#VALUE!</v>
      </c>
      <c r="HO40" t="e">
        <f>AND('2015'!#REF!,"AAAAAGf9Kd4=")</f>
        <v>#REF!</v>
      </c>
      <c r="HP40" t="e">
        <f>AND('2015'!BJ166,"AAAAAGf9Kd8=")</f>
        <v>#VALUE!</v>
      </c>
      <c r="HQ40" t="e">
        <f>AND('2015'!BK166,"AAAAAGf9KeA=")</f>
        <v>#VALUE!</v>
      </c>
      <c r="HR40" t="e">
        <f>AND('2015'!BL166,"AAAAAGf9KeE=")</f>
        <v>#VALUE!</v>
      </c>
      <c r="HS40" t="e">
        <f>AND('2015'!BM166,"AAAAAGf9KeI=")</f>
        <v>#VALUE!</v>
      </c>
      <c r="HT40" t="e">
        <f>AND('2015'!BY166,"AAAAAGf9KeM=")</f>
        <v>#VALUE!</v>
      </c>
      <c r="HU40">
        <f>IF('2015'!167:167,"AAAAAGf9KeQ=",0)</f>
        <v>0</v>
      </c>
      <c r="HV40" t="e">
        <f>AND('2015'!A167,"AAAAAGf9KeU=")</f>
        <v>#VALUE!</v>
      </c>
      <c r="HW40" t="e">
        <f>AND('2015'!B167,"AAAAAGf9KeY=")</f>
        <v>#VALUE!</v>
      </c>
      <c r="HX40" t="e">
        <f>AND('2015'!C167,"AAAAAGf9Kec=")</f>
        <v>#VALUE!</v>
      </c>
      <c r="HY40" t="e">
        <f>AND('2015'!D167,"AAAAAGf9Keg=")</f>
        <v>#VALUE!</v>
      </c>
      <c r="HZ40" t="e">
        <f>AND('2015'!E167,"AAAAAGf9Kek=")</f>
        <v>#VALUE!</v>
      </c>
      <c r="IA40" t="e">
        <f>AND('2015'!F167,"AAAAAGf9Keo=")</f>
        <v>#VALUE!</v>
      </c>
      <c r="IB40" t="e">
        <f>AND('2015'!G167,"AAAAAGf9Kes=")</f>
        <v>#VALUE!</v>
      </c>
      <c r="IC40" t="e">
        <f>AND('2015'!H167,"AAAAAGf9Kew=")</f>
        <v>#VALUE!</v>
      </c>
      <c r="ID40" t="e">
        <f>AND('2015'!I167,"AAAAAGf9Ke0=")</f>
        <v>#VALUE!</v>
      </c>
      <c r="IE40" t="e">
        <f>AND('2015'!J167,"AAAAAGf9Ke4=")</f>
        <v>#VALUE!</v>
      </c>
      <c r="IF40" t="e">
        <f>AND('2015'!K167,"AAAAAGf9Ke8=")</f>
        <v>#VALUE!</v>
      </c>
      <c r="IG40" t="e">
        <f>AND('2015'!L167,"AAAAAGf9KfA=")</f>
        <v>#VALUE!</v>
      </c>
      <c r="IH40" t="e">
        <f>AND('2015'!M167,"AAAAAGf9KfE=")</f>
        <v>#VALUE!</v>
      </c>
      <c r="II40" t="e">
        <f>AND('2015'!N167,"AAAAAGf9KfI=")</f>
        <v>#VALUE!</v>
      </c>
      <c r="IJ40" t="e">
        <f>AND('2015'!O167,"AAAAAGf9KfM=")</f>
        <v>#VALUE!</v>
      </c>
      <c r="IK40" t="e">
        <f>AND('2015'!P167,"AAAAAGf9KfQ=")</f>
        <v>#VALUE!</v>
      </c>
      <c r="IL40" t="e">
        <f>AND('2015'!Q167,"AAAAAGf9KfU=")</f>
        <v>#VALUE!</v>
      </c>
      <c r="IM40" t="e">
        <f>AND('2015'!R167,"AAAAAGf9KfY=")</f>
        <v>#VALUE!</v>
      </c>
      <c r="IN40" t="e">
        <f>AND('2015'!S167,"AAAAAGf9Kfc=")</f>
        <v>#VALUE!</v>
      </c>
      <c r="IO40" t="e">
        <f>AND('2015'!T167,"AAAAAGf9Kfg=")</f>
        <v>#VALUE!</v>
      </c>
      <c r="IP40" t="e">
        <f>AND('2015'!U167,"AAAAAGf9Kfk=")</f>
        <v>#VALUE!</v>
      </c>
      <c r="IQ40" t="e">
        <f>AND('2015'!V167,"AAAAAGf9Kfo=")</f>
        <v>#VALUE!</v>
      </c>
      <c r="IR40" t="e">
        <f>AND('2015'!W167,"AAAAAGf9Kfs=")</f>
        <v>#VALUE!</v>
      </c>
      <c r="IS40" t="e">
        <f>AND('2015'!X167,"AAAAAGf9Kfw=")</f>
        <v>#VALUE!</v>
      </c>
      <c r="IT40" t="e">
        <f>AND('2015'!Y167,"AAAAAGf9Kf0=")</f>
        <v>#VALUE!</v>
      </c>
      <c r="IU40" t="e">
        <f>AND('2015'!Z167,"AAAAAGf9Kf4=")</f>
        <v>#VALUE!</v>
      </c>
      <c r="IV40" t="e">
        <f>AND('2015'!AA167,"AAAAAGf9Kf8=")</f>
        <v>#VALUE!</v>
      </c>
    </row>
    <row r="41" spans="1:256" x14ac:dyDescent="0.25">
      <c r="A41" t="e">
        <f>AND('2015'!AB167,"AAAAAH8l7wA=")</f>
        <v>#VALUE!</v>
      </c>
      <c r="B41" t="e">
        <f>AND('2015'!AC167,"AAAAAH8l7wE=")</f>
        <v>#VALUE!</v>
      </c>
      <c r="C41" t="e">
        <f>AND('2015'!AD167,"AAAAAH8l7wI=")</f>
        <v>#VALUE!</v>
      </c>
      <c r="D41" t="e">
        <f>AND('2015'!AE167,"AAAAAH8l7wM=")</f>
        <v>#VALUE!</v>
      </c>
      <c r="E41" t="e">
        <f>AND('2015'!AF167,"AAAAAH8l7wQ=")</f>
        <v>#VALUE!</v>
      </c>
      <c r="F41" t="e">
        <f>AND('2015'!AG167,"AAAAAH8l7wU=")</f>
        <v>#VALUE!</v>
      </c>
      <c r="G41" t="e">
        <f>AND('2015'!AH167,"AAAAAH8l7wY=")</f>
        <v>#VALUE!</v>
      </c>
      <c r="H41" t="e">
        <f>AND('2015'!AI167,"AAAAAH8l7wc=")</f>
        <v>#VALUE!</v>
      </c>
      <c r="I41" t="e">
        <f>AND('2015'!AJ167,"AAAAAH8l7wg=")</f>
        <v>#VALUE!</v>
      </c>
      <c r="J41" t="e">
        <f>AND('2015'!AK167,"AAAAAH8l7wk=")</f>
        <v>#VALUE!</v>
      </c>
      <c r="K41" t="e">
        <f>AND('2015'!AL167,"AAAAAH8l7wo=")</f>
        <v>#VALUE!</v>
      </c>
      <c r="L41" t="e">
        <f>AND('2015'!AM167,"AAAAAH8l7ws=")</f>
        <v>#VALUE!</v>
      </c>
      <c r="M41" t="e">
        <f>AND('2015'!AN167,"AAAAAH8l7ww=")</f>
        <v>#VALUE!</v>
      </c>
      <c r="N41" t="e">
        <f>AND('2015'!AO167,"AAAAAH8l7w0=")</f>
        <v>#VALUE!</v>
      </c>
      <c r="O41" t="e">
        <f>AND('2015'!AP167,"AAAAAH8l7w4=")</f>
        <v>#VALUE!</v>
      </c>
      <c r="P41" t="e">
        <f>AND('2015'!AQ167,"AAAAAH8l7w8=")</f>
        <v>#VALUE!</v>
      </c>
      <c r="Q41" t="e">
        <f>AND('2015'!AR167,"AAAAAH8l7xA=")</f>
        <v>#VALUE!</v>
      </c>
      <c r="R41" t="e">
        <f>AND('2015'!AS167,"AAAAAH8l7xE=")</f>
        <v>#VALUE!</v>
      </c>
      <c r="S41" t="e">
        <f>AND('2015'!AT167,"AAAAAH8l7xI=")</f>
        <v>#VALUE!</v>
      </c>
      <c r="T41" t="e">
        <f>AND('2015'!#REF!,"AAAAAH8l7xM=")</f>
        <v>#REF!</v>
      </c>
      <c r="U41" t="e">
        <f>AND('2015'!AU167,"AAAAAH8l7xQ=")</f>
        <v>#VALUE!</v>
      </c>
      <c r="V41" t="e">
        <f>AND('2015'!AV167,"AAAAAH8l7xU=")</f>
        <v>#VALUE!</v>
      </c>
      <c r="W41" t="e">
        <f>AND('2015'!AW167,"AAAAAH8l7xY=")</f>
        <v>#VALUE!</v>
      </c>
      <c r="X41" t="e">
        <f>AND('2015'!AX167,"AAAAAH8l7xc=")</f>
        <v>#VALUE!</v>
      </c>
      <c r="Y41" t="e">
        <f>AND('2015'!AY167,"AAAAAH8l7xg=")</f>
        <v>#VALUE!</v>
      </c>
      <c r="Z41" t="e">
        <f>AND('2015'!AZ167,"AAAAAH8l7xk=")</f>
        <v>#VALUE!</v>
      </c>
      <c r="AA41" t="e">
        <f>AND('2015'!BA167,"AAAAAH8l7xo=")</f>
        <v>#VALUE!</v>
      </c>
      <c r="AB41" t="e">
        <f>AND('2015'!BB167,"AAAAAH8l7xs=")</f>
        <v>#VALUE!</v>
      </c>
      <c r="AC41" t="e">
        <f>AND('2015'!BC167,"AAAAAH8l7xw=")</f>
        <v>#VALUE!</v>
      </c>
      <c r="AD41" t="e">
        <f>AND('2015'!BD167,"AAAAAH8l7x0=")</f>
        <v>#VALUE!</v>
      </c>
      <c r="AE41" t="e">
        <f>AND('2015'!BE167,"AAAAAH8l7x4=")</f>
        <v>#VALUE!</v>
      </c>
      <c r="AF41" t="e">
        <f>AND('2015'!BF167,"AAAAAH8l7x8=")</f>
        <v>#VALUE!</v>
      </c>
      <c r="AG41" t="e">
        <f>AND('2015'!BG167,"AAAAAH8l7yA=")</f>
        <v>#VALUE!</v>
      </c>
      <c r="AH41" t="e">
        <f>AND('2015'!BH167,"AAAAAH8l7yE=")</f>
        <v>#VALUE!</v>
      </c>
      <c r="AI41" t="e">
        <f>AND('2015'!BI167,"AAAAAH8l7yI=")</f>
        <v>#VALUE!</v>
      </c>
      <c r="AJ41" t="e">
        <f>AND('2015'!#REF!,"AAAAAH8l7yM=")</f>
        <v>#REF!</v>
      </c>
      <c r="AK41" t="e">
        <f>AND('2015'!BJ167,"AAAAAH8l7yQ=")</f>
        <v>#VALUE!</v>
      </c>
      <c r="AL41" t="e">
        <f>AND('2015'!BK167,"AAAAAH8l7yU=")</f>
        <v>#VALUE!</v>
      </c>
      <c r="AM41" t="e">
        <f>AND('2015'!BL167,"AAAAAH8l7yY=")</f>
        <v>#VALUE!</v>
      </c>
      <c r="AN41" t="e">
        <f>AND('2015'!BM167,"AAAAAH8l7yc=")</f>
        <v>#VALUE!</v>
      </c>
      <c r="AO41" t="e">
        <f>AND('2015'!BY167,"AAAAAH8l7yg=")</f>
        <v>#VALUE!</v>
      </c>
      <c r="AP41">
        <f>IF('2015'!168:168,"AAAAAH8l7yk=",0)</f>
        <v>0</v>
      </c>
      <c r="AQ41" t="e">
        <f>AND('2015'!A168,"AAAAAH8l7yo=")</f>
        <v>#VALUE!</v>
      </c>
      <c r="AR41" t="e">
        <f>AND('2015'!B168,"AAAAAH8l7ys=")</f>
        <v>#VALUE!</v>
      </c>
      <c r="AS41" t="e">
        <f>AND('2015'!C168,"AAAAAH8l7yw=")</f>
        <v>#VALUE!</v>
      </c>
      <c r="AT41" t="e">
        <f>AND('2015'!D168,"AAAAAH8l7y0=")</f>
        <v>#VALUE!</v>
      </c>
      <c r="AU41" t="e">
        <f>AND('2015'!E168,"AAAAAH8l7y4=")</f>
        <v>#VALUE!</v>
      </c>
      <c r="AV41" t="e">
        <f>AND('2015'!F168,"AAAAAH8l7y8=")</f>
        <v>#VALUE!</v>
      </c>
      <c r="AW41" t="e">
        <f>AND('2015'!G168,"AAAAAH8l7zA=")</f>
        <v>#VALUE!</v>
      </c>
      <c r="AX41" t="e">
        <f>AND('2015'!H168,"AAAAAH8l7zE=")</f>
        <v>#VALUE!</v>
      </c>
      <c r="AY41" t="e">
        <f>AND('2015'!I168,"AAAAAH8l7zI=")</f>
        <v>#VALUE!</v>
      </c>
      <c r="AZ41" t="e">
        <f>AND('2015'!J168,"AAAAAH8l7zM=")</f>
        <v>#VALUE!</v>
      </c>
      <c r="BA41" t="e">
        <f>AND('2015'!K168,"AAAAAH8l7zQ=")</f>
        <v>#VALUE!</v>
      </c>
      <c r="BB41" t="e">
        <f>AND('2015'!L168,"AAAAAH8l7zU=")</f>
        <v>#VALUE!</v>
      </c>
      <c r="BC41" t="e">
        <f>AND('2015'!M168,"AAAAAH8l7zY=")</f>
        <v>#VALUE!</v>
      </c>
      <c r="BD41" t="e">
        <f>AND('2015'!N168,"AAAAAH8l7zc=")</f>
        <v>#VALUE!</v>
      </c>
      <c r="BE41" t="e">
        <f>AND('2015'!O168,"AAAAAH8l7zg=")</f>
        <v>#VALUE!</v>
      </c>
      <c r="BF41" t="e">
        <f>AND('2015'!P168,"AAAAAH8l7zk=")</f>
        <v>#VALUE!</v>
      </c>
      <c r="BG41" t="e">
        <f>AND('2015'!Q168,"AAAAAH8l7zo=")</f>
        <v>#VALUE!</v>
      </c>
      <c r="BH41" t="e">
        <f>AND('2015'!R168,"AAAAAH8l7zs=")</f>
        <v>#VALUE!</v>
      </c>
      <c r="BI41" t="e">
        <f>AND('2015'!S168,"AAAAAH8l7zw=")</f>
        <v>#VALUE!</v>
      </c>
      <c r="BJ41" t="e">
        <f>AND('2015'!T168,"AAAAAH8l7z0=")</f>
        <v>#VALUE!</v>
      </c>
      <c r="BK41" t="e">
        <f>AND('2015'!U168,"AAAAAH8l7z4=")</f>
        <v>#VALUE!</v>
      </c>
      <c r="BL41" t="e">
        <f>AND('2015'!V168,"AAAAAH8l7z8=")</f>
        <v>#VALUE!</v>
      </c>
      <c r="BM41" t="e">
        <f>AND('2015'!W168,"AAAAAH8l70A=")</f>
        <v>#VALUE!</v>
      </c>
      <c r="BN41" t="e">
        <f>AND('2015'!X168,"AAAAAH8l70E=")</f>
        <v>#VALUE!</v>
      </c>
      <c r="BO41" t="e">
        <f>AND('2015'!Y168,"AAAAAH8l70I=")</f>
        <v>#VALUE!</v>
      </c>
      <c r="BP41" t="e">
        <f>AND('2015'!Z168,"AAAAAH8l70M=")</f>
        <v>#VALUE!</v>
      </c>
      <c r="BQ41" t="e">
        <f>AND('2015'!AA168,"AAAAAH8l70Q=")</f>
        <v>#VALUE!</v>
      </c>
      <c r="BR41" t="e">
        <f>AND('2015'!AB168,"AAAAAH8l70U=")</f>
        <v>#VALUE!</v>
      </c>
      <c r="BS41" t="e">
        <f>AND('2015'!AC168,"AAAAAH8l70Y=")</f>
        <v>#VALUE!</v>
      </c>
      <c r="BT41" t="e">
        <f>AND('2015'!AD168,"AAAAAH8l70c=")</f>
        <v>#VALUE!</v>
      </c>
      <c r="BU41" t="e">
        <f>AND('2015'!AE168,"AAAAAH8l70g=")</f>
        <v>#VALUE!</v>
      </c>
      <c r="BV41" t="e">
        <f>AND('2015'!AF168,"AAAAAH8l70k=")</f>
        <v>#VALUE!</v>
      </c>
      <c r="BW41" t="e">
        <f>AND('2015'!AG168,"AAAAAH8l70o=")</f>
        <v>#VALUE!</v>
      </c>
      <c r="BX41" t="e">
        <f>AND('2015'!AH168,"AAAAAH8l70s=")</f>
        <v>#VALUE!</v>
      </c>
      <c r="BY41" t="e">
        <f>AND('2015'!AI168,"AAAAAH8l70w=")</f>
        <v>#VALUE!</v>
      </c>
      <c r="BZ41" t="e">
        <f>AND('2015'!AJ168,"AAAAAH8l700=")</f>
        <v>#VALUE!</v>
      </c>
      <c r="CA41" t="e">
        <f>AND('2015'!AK168,"AAAAAH8l704=")</f>
        <v>#VALUE!</v>
      </c>
      <c r="CB41" t="e">
        <f>AND('2015'!AL168,"AAAAAH8l708=")</f>
        <v>#VALUE!</v>
      </c>
      <c r="CC41" t="e">
        <f>AND('2015'!AM168,"AAAAAH8l71A=")</f>
        <v>#VALUE!</v>
      </c>
      <c r="CD41" t="e">
        <f>AND('2015'!AN168,"AAAAAH8l71E=")</f>
        <v>#VALUE!</v>
      </c>
      <c r="CE41" t="e">
        <f>AND('2015'!AO168,"AAAAAH8l71I=")</f>
        <v>#VALUE!</v>
      </c>
      <c r="CF41" t="e">
        <f>AND('2015'!AP168,"AAAAAH8l71M=")</f>
        <v>#VALUE!</v>
      </c>
      <c r="CG41" t="e">
        <f>AND('2015'!AQ168,"AAAAAH8l71Q=")</f>
        <v>#VALUE!</v>
      </c>
      <c r="CH41" t="e">
        <f>AND('2015'!AR168,"AAAAAH8l71U=")</f>
        <v>#VALUE!</v>
      </c>
      <c r="CI41" t="e">
        <f>AND('2015'!AS168,"AAAAAH8l71Y=")</f>
        <v>#VALUE!</v>
      </c>
      <c r="CJ41" t="e">
        <f>AND('2015'!AT168,"AAAAAH8l71c=")</f>
        <v>#VALUE!</v>
      </c>
      <c r="CK41" t="e">
        <f>AND('2015'!#REF!,"AAAAAH8l71g=")</f>
        <v>#REF!</v>
      </c>
      <c r="CL41" t="e">
        <f>AND('2015'!AU168,"AAAAAH8l71k=")</f>
        <v>#VALUE!</v>
      </c>
      <c r="CM41" t="e">
        <f>AND('2015'!AV168,"AAAAAH8l71o=")</f>
        <v>#VALUE!</v>
      </c>
      <c r="CN41" t="e">
        <f>AND('2015'!AW168,"AAAAAH8l71s=")</f>
        <v>#VALUE!</v>
      </c>
      <c r="CO41" t="e">
        <f>AND('2015'!AX168,"AAAAAH8l71w=")</f>
        <v>#VALUE!</v>
      </c>
      <c r="CP41" t="e">
        <f>AND('2015'!AY168,"AAAAAH8l710=")</f>
        <v>#VALUE!</v>
      </c>
      <c r="CQ41" t="e">
        <f>AND('2015'!AZ168,"AAAAAH8l714=")</f>
        <v>#VALUE!</v>
      </c>
      <c r="CR41" t="e">
        <f>AND('2015'!BA168,"AAAAAH8l718=")</f>
        <v>#VALUE!</v>
      </c>
      <c r="CS41" t="e">
        <f>AND('2015'!BB168,"AAAAAH8l72A=")</f>
        <v>#VALUE!</v>
      </c>
      <c r="CT41" t="e">
        <f>AND('2015'!BC168,"AAAAAH8l72E=")</f>
        <v>#VALUE!</v>
      </c>
      <c r="CU41" t="e">
        <f>AND('2015'!BD168,"AAAAAH8l72I=")</f>
        <v>#VALUE!</v>
      </c>
      <c r="CV41" t="e">
        <f>AND('2015'!BE168,"AAAAAH8l72M=")</f>
        <v>#VALUE!</v>
      </c>
      <c r="CW41" t="e">
        <f>AND('2015'!BF168,"AAAAAH8l72Q=")</f>
        <v>#VALUE!</v>
      </c>
      <c r="CX41" t="e">
        <f>AND('2015'!BG168,"AAAAAH8l72U=")</f>
        <v>#VALUE!</v>
      </c>
      <c r="CY41" t="e">
        <f>AND('2015'!BH168,"AAAAAH8l72Y=")</f>
        <v>#VALUE!</v>
      </c>
      <c r="CZ41" t="e">
        <f>AND('2015'!BI168,"AAAAAH8l72c=")</f>
        <v>#VALUE!</v>
      </c>
      <c r="DA41" t="e">
        <f>AND('2015'!#REF!,"AAAAAH8l72g=")</f>
        <v>#REF!</v>
      </c>
      <c r="DB41" t="e">
        <f>AND('2015'!BJ168,"AAAAAH8l72k=")</f>
        <v>#VALUE!</v>
      </c>
      <c r="DC41" t="e">
        <f>AND('2015'!BK168,"AAAAAH8l72o=")</f>
        <v>#VALUE!</v>
      </c>
      <c r="DD41" t="e">
        <f>AND('2015'!BL168,"AAAAAH8l72s=")</f>
        <v>#VALUE!</v>
      </c>
      <c r="DE41" t="e">
        <f>AND('2015'!BM168,"AAAAAH8l72w=")</f>
        <v>#VALUE!</v>
      </c>
      <c r="DF41" t="e">
        <f>AND('2015'!BY168,"AAAAAH8l720=")</f>
        <v>#VALUE!</v>
      </c>
      <c r="DG41">
        <f>IF('2015'!169:169,"AAAAAH8l724=",0)</f>
        <v>0</v>
      </c>
      <c r="DH41" t="e">
        <f>AND('2015'!A169,"AAAAAH8l728=")</f>
        <v>#VALUE!</v>
      </c>
      <c r="DI41" t="e">
        <f>AND('2015'!B169,"AAAAAH8l73A=")</f>
        <v>#VALUE!</v>
      </c>
      <c r="DJ41" t="e">
        <f>AND('2015'!C169,"AAAAAH8l73E=")</f>
        <v>#VALUE!</v>
      </c>
      <c r="DK41" t="e">
        <f>AND('2015'!D169,"AAAAAH8l73I=")</f>
        <v>#VALUE!</v>
      </c>
      <c r="DL41" t="e">
        <f>AND('2015'!E169,"AAAAAH8l73M=")</f>
        <v>#VALUE!</v>
      </c>
      <c r="DM41" t="e">
        <f>AND('2015'!F169,"AAAAAH8l73Q=")</f>
        <v>#VALUE!</v>
      </c>
      <c r="DN41" t="e">
        <f>AND('2015'!G169,"AAAAAH8l73U=")</f>
        <v>#VALUE!</v>
      </c>
      <c r="DO41" t="e">
        <f>AND('2015'!H169,"AAAAAH8l73Y=")</f>
        <v>#VALUE!</v>
      </c>
      <c r="DP41" t="e">
        <f>AND('2015'!I169,"AAAAAH8l73c=")</f>
        <v>#VALUE!</v>
      </c>
      <c r="DQ41" t="e">
        <f>AND('2015'!J169,"AAAAAH8l73g=")</f>
        <v>#VALUE!</v>
      </c>
      <c r="DR41" t="e">
        <f>AND('2015'!K169,"AAAAAH8l73k=")</f>
        <v>#VALUE!</v>
      </c>
      <c r="DS41" t="e">
        <f>AND('2015'!L169,"AAAAAH8l73o=")</f>
        <v>#VALUE!</v>
      </c>
      <c r="DT41" t="e">
        <f>AND('2015'!M169,"AAAAAH8l73s=")</f>
        <v>#VALUE!</v>
      </c>
      <c r="DU41" t="e">
        <f>AND('2015'!N169,"AAAAAH8l73w=")</f>
        <v>#VALUE!</v>
      </c>
      <c r="DV41" t="e">
        <f>AND('2015'!O169,"AAAAAH8l730=")</f>
        <v>#VALUE!</v>
      </c>
      <c r="DW41" t="e">
        <f>AND('2015'!P169,"AAAAAH8l734=")</f>
        <v>#VALUE!</v>
      </c>
      <c r="DX41" t="e">
        <f>AND('2015'!Q169,"AAAAAH8l738=")</f>
        <v>#VALUE!</v>
      </c>
      <c r="DY41" t="e">
        <f>AND('2015'!R169,"AAAAAH8l74A=")</f>
        <v>#VALUE!</v>
      </c>
      <c r="DZ41" t="e">
        <f>AND('2015'!S169,"AAAAAH8l74E=")</f>
        <v>#VALUE!</v>
      </c>
      <c r="EA41" t="e">
        <f>AND('2015'!T169,"AAAAAH8l74I=")</f>
        <v>#VALUE!</v>
      </c>
      <c r="EB41" t="e">
        <f>AND('2015'!U169,"AAAAAH8l74M=")</f>
        <v>#VALUE!</v>
      </c>
      <c r="EC41" t="e">
        <f>AND('2015'!V169,"AAAAAH8l74Q=")</f>
        <v>#VALUE!</v>
      </c>
      <c r="ED41" t="e">
        <f>AND('2015'!W169,"AAAAAH8l74U=")</f>
        <v>#VALUE!</v>
      </c>
      <c r="EE41" t="e">
        <f>AND('2015'!X169,"AAAAAH8l74Y=")</f>
        <v>#VALUE!</v>
      </c>
      <c r="EF41" t="e">
        <f>AND('2015'!Y169,"AAAAAH8l74c=")</f>
        <v>#VALUE!</v>
      </c>
      <c r="EG41" t="e">
        <f>AND('2015'!Z169,"AAAAAH8l74g=")</f>
        <v>#VALUE!</v>
      </c>
      <c r="EH41" t="e">
        <f>AND('2015'!AA169,"AAAAAH8l74k=")</f>
        <v>#VALUE!</v>
      </c>
      <c r="EI41" t="e">
        <f>AND('2015'!AB169,"AAAAAH8l74o=")</f>
        <v>#VALUE!</v>
      </c>
      <c r="EJ41" t="e">
        <f>AND('2015'!AC169,"AAAAAH8l74s=")</f>
        <v>#VALUE!</v>
      </c>
      <c r="EK41" t="e">
        <f>AND('2015'!AD169,"AAAAAH8l74w=")</f>
        <v>#VALUE!</v>
      </c>
      <c r="EL41" t="e">
        <f>AND('2015'!AE169,"AAAAAH8l740=")</f>
        <v>#VALUE!</v>
      </c>
      <c r="EM41" t="e">
        <f>AND('2015'!AF169,"AAAAAH8l744=")</f>
        <v>#VALUE!</v>
      </c>
      <c r="EN41" t="e">
        <f>AND('2015'!AG169,"AAAAAH8l748=")</f>
        <v>#VALUE!</v>
      </c>
      <c r="EO41" t="e">
        <f>AND('2015'!AH169,"AAAAAH8l75A=")</f>
        <v>#VALUE!</v>
      </c>
      <c r="EP41" t="e">
        <f>AND('2015'!AI169,"AAAAAH8l75E=")</f>
        <v>#VALUE!</v>
      </c>
      <c r="EQ41" t="e">
        <f>AND('2015'!AJ169,"AAAAAH8l75I=")</f>
        <v>#VALUE!</v>
      </c>
      <c r="ER41" t="e">
        <f>AND('2015'!AK169,"AAAAAH8l75M=")</f>
        <v>#VALUE!</v>
      </c>
      <c r="ES41" t="e">
        <f>AND('2015'!AL169,"AAAAAH8l75Q=")</f>
        <v>#VALUE!</v>
      </c>
      <c r="ET41" t="e">
        <f>AND('2015'!AM169,"AAAAAH8l75U=")</f>
        <v>#VALUE!</v>
      </c>
      <c r="EU41" t="e">
        <f>AND('2015'!AN169,"AAAAAH8l75Y=")</f>
        <v>#VALUE!</v>
      </c>
      <c r="EV41" t="e">
        <f>AND('2015'!AO169,"AAAAAH8l75c=")</f>
        <v>#VALUE!</v>
      </c>
      <c r="EW41" t="e">
        <f>AND('2015'!AP169,"AAAAAH8l75g=")</f>
        <v>#VALUE!</v>
      </c>
      <c r="EX41" t="e">
        <f>AND('2015'!AQ169,"AAAAAH8l75k=")</f>
        <v>#VALUE!</v>
      </c>
      <c r="EY41" t="e">
        <f>AND('2015'!AR169,"AAAAAH8l75o=")</f>
        <v>#VALUE!</v>
      </c>
      <c r="EZ41" t="e">
        <f>AND('2015'!AS169,"AAAAAH8l75s=")</f>
        <v>#VALUE!</v>
      </c>
      <c r="FA41" t="e">
        <f>AND('2015'!AT169,"AAAAAH8l75w=")</f>
        <v>#VALUE!</v>
      </c>
      <c r="FB41" t="e">
        <f>AND('2015'!#REF!,"AAAAAH8l750=")</f>
        <v>#REF!</v>
      </c>
      <c r="FC41" t="e">
        <f>AND('2015'!AU169,"AAAAAH8l754=")</f>
        <v>#VALUE!</v>
      </c>
      <c r="FD41" t="e">
        <f>AND('2015'!AV169,"AAAAAH8l758=")</f>
        <v>#VALUE!</v>
      </c>
      <c r="FE41" t="e">
        <f>AND('2015'!AW169,"AAAAAH8l76A=")</f>
        <v>#VALUE!</v>
      </c>
      <c r="FF41" t="e">
        <f>AND('2015'!AX169,"AAAAAH8l76E=")</f>
        <v>#VALUE!</v>
      </c>
      <c r="FG41" t="e">
        <f>AND('2015'!AY169,"AAAAAH8l76I=")</f>
        <v>#VALUE!</v>
      </c>
      <c r="FH41" t="e">
        <f>AND('2015'!AZ169,"AAAAAH8l76M=")</f>
        <v>#VALUE!</v>
      </c>
      <c r="FI41" t="e">
        <f>AND('2015'!BA169,"AAAAAH8l76Q=")</f>
        <v>#VALUE!</v>
      </c>
      <c r="FJ41" t="e">
        <f>AND('2015'!BB169,"AAAAAH8l76U=")</f>
        <v>#VALUE!</v>
      </c>
      <c r="FK41" t="e">
        <f>AND('2015'!BC169,"AAAAAH8l76Y=")</f>
        <v>#VALUE!</v>
      </c>
      <c r="FL41" t="e">
        <f>AND('2015'!BD169,"AAAAAH8l76c=")</f>
        <v>#VALUE!</v>
      </c>
      <c r="FM41" t="e">
        <f>AND('2015'!BE169,"AAAAAH8l76g=")</f>
        <v>#VALUE!</v>
      </c>
      <c r="FN41" t="e">
        <f>AND('2015'!BF169,"AAAAAH8l76k=")</f>
        <v>#VALUE!</v>
      </c>
      <c r="FO41" t="e">
        <f>AND('2015'!BG169,"AAAAAH8l76o=")</f>
        <v>#VALUE!</v>
      </c>
      <c r="FP41" t="e">
        <f>AND('2015'!BH169,"AAAAAH8l76s=")</f>
        <v>#VALUE!</v>
      </c>
      <c r="FQ41" t="e">
        <f>AND('2015'!BI169,"AAAAAH8l76w=")</f>
        <v>#VALUE!</v>
      </c>
      <c r="FR41" t="e">
        <f>AND('2015'!#REF!,"AAAAAH8l760=")</f>
        <v>#REF!</v>
      </c>
      <c r="FS41" t="e">
        <f>AND('2015'!BJ169,"AAAAAH8l764=")</f>
        <v>#VALUE!</v>
      </c>
      <c r="FT41" t="e">
        <f>AND('2015'!BK169,"AAAAAH8l768=")</f>
        <v>#VALUE!</v>
      </c>
      <c r="FU41" t="e">
        <f>AND('2015'!BL169,"AAAAAH8l77A=")</f>
        <v>#VALUE!</v>
      </c>
      <c r="FV41" t="e">
        <f>AND('2015'!BM169,"AAAAAH8l77E=")</f>
        <v>#VALUE!</v>
      </c>
      <c r="FW41" t="e">
        <f>AND('2015'!BY169,"AAAAAH8l77I=")</f>
        <v>#VALUE!</v>
      </c>
      <c r="FX41">
        <f>IF('2015'!170:170,"AAAAAH8l77M=",0)</f>
        <v>0</v>
      </c>
      <c r="FY41" t="e">
        <f>AND('2015'!A170,"AAAAAH8l77Q=")</f>
        <v>#VALUE!</v>
      </c>
      <c r="FZ41" t="e">
        <f>AND('2015'!B170,"AAAAAH8l77U=")</f>
        <v>#VALUE!</v>
      </c>
      <c r="GA41" t="e">
        <f>AND('2015'!C170,"AAAAAH8l77Y=")</f>
        <v>#VALUE!</v>
      </c>
      <c r="GB41" t="e">
        <f>AND('2015'!D170,"AAAAAH8l77c=")</f>
        <v>#VALUE!</v>
      </c>
      <c r="GC41" t="e">
        <f>AND('2015'!E170,"AAAAAH8l77g=")</f>
        <v>#VALUE!</v>
      </c>
      <c r="GD41" t="e">
        <f>AND('2015'!F170,"AAAAAH8l77k=")</f>
        <v>#VALUE!</v>
      </c>
      <c r="GE41" t="e">
        <f>AND('2015'!G170,"AAAAAH8l77o=")</f>
        <v>#VALUE!</v>
      </c>
      <c r="GF41" t="e">
        <f>AND('2015'!H170,"AAAAAH8l77s=")</f>
        <v>#VALUE!</v>
      </c>
      <c r="GG41" t="e">
        <f>AND('2015'!I170,"AAAAAH8l77w=")</f>
        <v>#VALUE!</v>
      </c>
      <c r="GH41" t="e">
        <f>AND('2015'!J170,"AAAAAH8l770=")</f>
        <v>#VALUE!</v>
      </c>
      <c r="GI41" t="e">
        <f>AND('2015'!K170,"AAAAAH8l774=")</f>
        <v>#VALUE!</v>
      </c>
      <c r="GJ41" t="e">
        <f>AND('2015'!L170,"AAAAAH8l778=")</f>
        <v>#VALUE!</v>
      </c>
      <c r="GK41" t="e">
        <f>AND('2015'!M170,"AAAAAH8l78A=")</f>
        <v>#VALUE!</v>
      </c>
      <c r="GL41" t="e">
        <f>AND('2015'!N170,"AAAAAH8l78E=")</f>
        <v>#VALUE!</v>
      </c>
      <c r="GM41" t="e">
        <f>AND('2015'!O170,"AAAAAH8l78I=")</f>
        <v>#VALUE!</v>
      </c>
      <c r="GN41" t="e">
        <f>AND('2015'!P170,"AAAAAH8l78M=")</f>
        <v>#VALUE!</v>
      </c>
      <c r="GO41" t="e">
        <f>AND('2015'!Q170,"AAAAAH8l78Q=")</f>
        <v>#VALUE!</v>
      </c>
      <c r="GP41" t="e">
        <f>AND('2015'!R170,"AAAAAH8l78U=")</f>
        <v>#VALUE!</v>
      </c>
      <c r="GQ41" t="e">
        <f>AND('2015'!S170,"AAAAAH8l78Y=")</f>
        <v>#VALUE!</v>
      </c>
      <c r="GR41" t="e">
        <f>AND('2015'!T170,"AAAAAH8l78c=")</f>
        <v>#VALUE!</v>
      </c>
      <c r="GS41" t="e">
        <f>AND('2015'!U170,"AAAAAH8l78g=")</f>
        <v>#VALUE!</v>
      </c>
      <c r="GT41" t="e">
        <f>AND('2015'!V170,"AAAAAH8l78k=")</f>
        <v>#VALUE!</v>
      </c>
      <c r="GU41" t="e">
        <f>AND('2015'!W170,"AAAAAH8l78o=")</f>
        <v>#VALUE!</v>
      </c>
      <c r="GV41" t="e">
        <f>AND('2015'!X170,"AAAAAH8l78s=")</f>
        <v>#VALUE!</v>
      </c>
      <c r="GW41" t="e">
        <f>AND('2015'!Y170,"AAAAAH8l78w=")</f>
        <v>#VALUE!</v>
      </c>
      <c r="GX41" t="e">
        <f>AND('2015'!Z170,"AAAAAH8l780=")</f>
        <v>#VALUE!</v>
      </c>
      <c r="GY41" t="e">
        <f>AND('2015'!AA170,"AAAAAH8l784=")</f>
        <v>#VALUE!</v>
      </c>
      <c r="GZ41" t="e">
        <f>AND('2015'!AB170,"AAAAAH8l788=")</f>
        <v>#VALUE!</v>
      </c>
      <c r="HA41" t="e">
        <f>AND('2015'!AC170,"AAAAAH8l79A=")</f>
        <v>#VALUE!</v>
      </c>
      <c r="HB41" t="e">
        <f>AND('2015'!AD170,"AAAAAH8l79E=")</f>
        <v>#VALUE!</v>
      </c>
      <c r="HC41" t="e">
        <f>AND('2015'!AE170,"AAAAAH8l79I=")</f>
        <v>#VALUE!</v>
      </c>
      <c r="HD41" t="e">
        <f>AND('2015'!AF170,"AAAAAH8l79M=")</f>
        <v>#VALUE!</v>
      </c>
      <c r="HE41" t="e">
        <f>AND('2015'!AG170,"AAAAAH8l79Q=")</f>
        <v>#VALUE!</v>
      </c>
      <c r="HF41" t="e">
        <f>AND('2015'!AH170,"AAAAAH8l79U=")</f>
        <v>#VALUE!</v>
      </c>
      <c r="HG41" t="e">
        <f>AND('2015'!AI170,"AAAAAH8l79Y=")</f>
        <v>#VALUE!</v>
      </c>
      <c r="HH41" t="e">
        <f>AND('2015'!AJ170,"AAAAAH8l79c=")</f>
        <v>#VALUE!</v>
      </c>
      <c r="HI41" t="e">
        <f>AND('2015'!AK170,"AAAAAH8l79g=")</f>
        <v>#VALUE!</v>
      </c>
      <c r="HJ41" t="e">
        <f>AND('2015'!AL170,"AAAAAH8l79k=")</f>
        <v>#VALUE!</v>
      </c>
      <c r="HK41" t="e">
        <f>AND('2015'!AM170,"AAAAAH8l79o=")</f>
        <v>#VALUE!</v>
      </c>
      <c r="HL41" t="e">
        <f>AND('2015'!AN170,"AAAAAH8l79s=")</f>
        <v>#VALUE!</v>
      </c>
      <c r="HM41" t="e">
        <f>AND('2015'!AO170,"AAAAAH8l79w=")</f>
        <v>#VALUE!</v>
      </c>
      <c r="HN41" t="e">
        <f>AND('2015'!AP170,"AAAAAH8l790=")</f>
        <v>#VALUE!</v>
      </c>
      <c r="HO41" t="e">
        <f>AND('2015'!AQ170,"AAAAAH8l794=")</f>
        <v>#VALUE!</v>
      </c>
      <c r="HP41" t="e">
        <f>AND('2015'!AR170,"AAAAAH8l798=")</f>
        <v>#VALUE!</v>
      </c>
      <c r="HQ41" t="e">
        <f>AND('2015'!AS170,"AAAAAH8l7+A=")</f>
        <v>#VALUE!</v>
      </c>
      <c r="HR41" t="e">
        <f>AND('2015'!AT170,"AAAAAH8l7+E=")</f>
        <v>#VALUE!</v>
      </c>
      <c r="HS41" t="e">
        <f>AND('2015'!#REF!,"AAAAAH8l7+I=")</f>
        <v>#REF!</v>
      </c>
      <c r="HT41" t="e">
        <f>AND('2015'!AU170,"AAAAAH8l7+M=")</f>
        <v>#VALUE!</v>
      </c>
      <c r="HU41" t="e">
        <f>AND('2015'!AV170,"AAAAAH8l7+Q=")</f>
        <v>#VALUE!</v>
      </c>
      <c r="HV41" t="e">
        <f>AND('2015'!AW170,"AAAAAH8l7+U=")</f>
        <v>#VALUE!</v>
      </c>
      <c r="HW41" t="e">
        <f>AND('2015'!AX170,"AAAAAH8l7+Y=")</f>
        <v>#VALUE!</v>
      </c>
      <c r="HX41" t="e">
        <f>AND('2015'!AY170,"AAAAAH8l7+c=")</f>
        <v>#VALUE!</v>
      </c>
      <c r="HY41" t="e">
        <f>AND('2015'!AZ170,"AAAAAH8l7+g=")</f>
        <v>#VALUE!</v>
      </c>
      <c r="HZ41" t="e">
        <f>AND('2015'!BA170,"AAAAAH8l7+k=")</f>
        <v>#VALUE!</v>
      </c>
      <c r="IA41" t="e">
        <f>AND('2015'!BB170,"AAAAAH8l7+o=")</f>
        <v>#VALUE!</v>
      </c>
      <c r="IB41" t="e">
        <f>AND('2015'!BC170,"AAAAAH8l7+s=")</f>
        <v>#VALUE!</v>
      </c>
      <c r="IC41" t="e">
        <f>AND('2015'!BD170,"AAAAAH8l7+w=")</f>
        <v>#VALUE!</v>
      </c>
      <c r="ID41" t="e">
        <f>AND('2015'!BE170,"AAAAAH8l7+0=")</f>
        <v>#VALUE!</v>
      </c>
      <c r="IE41" t="e">
        <f>AND('2015'!BF170,"AAAAAH8l7+4=")</f>
        <v>#VALUE!</v>
      </c>
      <c r="IF41" t="e">
        <f>AND('2015'!BG170,"AAAAAH8l7+8=")</f>
        <v>#VALUE!</v>
      </c>
      <c r="IG41" t="e">
        <f>AND('2015'!BH170,"AAAAAH8l7/A=")</f>
        <v>#VALUE!</v>
      </c>
      <c r="IH41" t="e">
        <f>AND('2015'!BI170,"AAAAAH8l7/E=")</f>
        <v>#VALUE!</v>
      </c>
      <c r="II41" t="e">
        <f>AND('2015'!#REF!,"AAAAAH8l7/I=")</f>
        <v>#REF!</v>
      </c>
      <c r="IJ41" t="e">
        <f>AND('2015'!BJ170,"AAAAAH8l7/M=")</f>
        <v>#VALUE!</v>
      </c>
      <c r="IK41" t="e">
        <f>AND('2015'!BK170,"AAAAAH8l7/Q=")</f>
        <v>#VALUE!</v>
      </c>
      <c r="IL41" t="e">
        <f>AND('2015'!BL170,"AAAAAH8l7/U=")</f>
        <v>#VALUE!</v>
      </c>
      <c r="IM41" t="e">
        <f>AND('2015'!BM170,"AAAAAH8l7/Y=")</f>
        <v>#VALUE!</v>
      </c>
      <c r="IN41" t="e">
        <f>AND('2015'!BY170,"AAAAAH8l7/c=")</f>
        <v>#VALUE!</v>
      </c>
      <c r="IO41">
        <f>IF('2015'!171:171,"AAAAAH8l7/g=",0)</f>
        <v>0</v>
      </c>
      <c r="IP41" t="e">
        <f>AND('2015'!A171,"AAAAAH8l7/k=")</f>
        <v>#VALUE!</v>
      </c>
      <c r="IQ41" t="e">
        <f>AND('2015'!B171,"AAAAAH8l7/o=")</f>
        <v>#VALUE!</v>
      </c>
      <c r="IR41" t="e">
        <f>AND('2015'!C171,"AAAAAH8l7/s=")</f>
        <v>#VALUE!</v>
      </c>
      <c r="IS41" t="e">
        <f>AND('2015'!D171,"AAAAAH8l7/w=")</f>
        <v>#VALUE!</v>
      </c>
      <c r="IT41" t="e">
        <f>AND('2015'!E171,"AAAAAH8l7/0=")</f>
        <v>#VALUE!</v>
      </c>
      <c r="IU41" t="e">
        <f>AND('2015'!F171,"AAAAAH8l7/4=")</f>
        <v>#VALUE!</v>
      </c>
      <c r="IV41" t="e">
        <f>AND('2015'!G171,"AAAAAH8l7/8=")</f>
        <v>#VALUE!</v>
      </c>
    </row>
    <row r="42" spans="1:256" x14ac:dyDescent="0.25">
      <c r="A42" t="e">
        <f>AND('2015'!H171,"AAAAAFn+/gA=")</f>
        <v>#VALUE!</v>
      </c>
      <c r="B42" t="e">
        <f>AND('2015'!I171,"AAAAAFn+/gE=")</f>
        <v>#VALUE!</v>
      </c>
      <c r="C42" t="e">
        <f>AND('2015'!J171,"AAAAAFn+/gI=")</f>
        <v>#VALUE!</v>
      </c>
      <c r="D42" t="e">
        <f>AND('2015'!K171,"AAAAAFn+/gM=")</f>
        <v>#VALUE!</v>
      </c>
      <c r="E42" t="e">
        <f>AND('2015'!L171,"AAAAAFn+/gQ=")</f>
        <v>#VALUE!</v>
      </c>
      <c r="F42" t="e">
        <f>AND('2015'!M171,"AAAAAFn+/gU=")</f>
        <v>#VALUE!</v>
      </c>
      <c r="G42" t="e">
        <f>AND('2015'!N171,"AAAAAFn+/gY=")</f>
        <v>#VALUE!</v>
      </c>
      <c r="H42" t="e">
        <f>AND('2015'!O171,"AAAAAFn+/gc=")</f>
        <v>#VALUE!</v>
      </c>
      <c r="I42" t="e">
        <f>AND('2015'!P171,"AAAAAFn+/gg=")</f>
        <v>#VALUE!</v>
      </c>
      <c r="J42" t="e">
        <f>AND('2015'!Q171,"AAAAAFn+/gk=")</f>
        <v>#VALUE!</v>
      </c>
      <c r="K42" t="e">
        <f>AND('2015'!R171,"AAAAAFn+/go=")</f>
        <v>#VALUE!</v>
      </c>
      <c r="L42" t="e">
        <f>AND('2015'!S171,"AAAAAFn+/gs=")</f>
        <v>#VALUE!</v>
      </c>
      <c r="M42" t="e">
        <f>AND('2015'!T171,"AAAAAFn+/gw=")</f>
        <v>#VALUE!</v>
      </c>
      <c r="N42" t="e">
        <f>AND('2015'!U171,"AAAAAFn+/g0=")</f>
        <v>#VALUE!</v>
      </c>
      <c r="O42" t="e">
        <f>AND('2015'!V171,"AAAAAFn+/g4=")</f>
        <v>#VALUE!</v>
      </c>
      <c r="P42" t="e">
        <f>AND('2015'!W171,"AAAAAFn+/g8=")</f>
        <v>#VALUE!</v>
      </c>
      <c r="Q42" t="e">
        <f>AND('2015'!X171,"AAAAAFn+/hA=")</f>
        <v>#VALUE!</v>
      </c>
      <c r="R42" t="e">
        <f>AND('2015'!Y171,"AAAAAFn+/hE=")</f>
        <v>#VALUE!</v>
      </c>
      <c r="S42" t="e">
        <f>AND('2015'!Z171,"AAAAAFn+/hI=")</f>
        <v>#VALUE!</v>
      </c>
      <c r="T42" t="e">
        <f>AND('2015'!AA171,"AAAAAFn+/hM=")</f>
        <v>#VALUE!</v>
      </c>
      <c r="U42" t="e">
        <f>AND('2015'!AB171,"AAAAAFn+/hQ=")</f>
        <v>#VALUE!</v>
      </c>
      <c r="V42" t="e">
        <f>AND('2015'!AC171,"AAAAAFn+/hU=")</f>
        <v>#VALUE!</v>
      </c>
      <c r="W42" t="e">
        <f>AND('2015'!AD171,"AAAAAFn+/hY=")</f>
        <v>#VALUE!</v>
      </c>
      <c r="X42" t="e">
        <f>AND('2015'!AE171,"AAAAAFn+/hc=")</f>
        <v>#VALUE!</v>
      </c>
      <c r="Y42" t="e">
        <f>AND('2015'!AF171,"AAAAAFn+/hg=")</f>
        <v>#VALUE!</v>
      </c>
      <c r="Z42" t="e">
        <f>AND('2015'!AG171,"AAAAAFn+/hk=")</f>
        <v>#VALUE!</v>
      </c>
      <c r="AA42" t="e">
        <f>AND('2015'!AH171,"AAAAAFn+/ho=")</f>
        <v>#VALUE!</v>
      </c>
      <c r="AB42" t="e">
        <f>AND('2015'!AI171,"AAAAAFn+/hs=")</f>
        <v>#VALUE!</v>
      </c>
      <c r="AC42" t="e">
        <f>AND('2015'!AJ171,"AAAAAFn+/hw=")</f>
        <v>#VALUE!</v>
      </c>
      <c r="AD42" t="e">
        <f>AND('2015'!AK171,"AAAAAFn+/h0=")</f>
        <v>#VALUE!</v>
      </c>
      <c r="AE42" t="e">
        <f>AND('2015'!AL171,"AAAAAFn+/h4=")</f>
        <v>#VALUE!</v>
      </c>
      <c r="AF42" t="e">
        <f>AND('2015'!AM171,"AAAAAFn+/h8=")</f>
        <v>#VALUE!</v>
      </c>
      <c r="AG42" t="e">
        <f>AND('2015'!AN171,"AAAAAFn+/iA=")</f>
        <v>#VALUE!</v>
      </c>
      <c r="AH42" t="e">
        <f>AND('2015'!AO171,"AAAAAFn+/iE=")</f>
        <v>#VALUE!</v>
      </c>
      <c r="AI42" t="e">
        <f>AND('2015'!AP171,"AAAAAFn+/iI=")</f>
        <v>#VALUE!</v>
      </c>
      <c r="AJ42" t="e">
        <f>AND('2015'!AQ171,"AAAAAFn+/iM=")</f>
        <v>#VALUE!</v>
      </c>
      <c r="AK42" t="e">
        <f>AND('2015'!AR171,"AAAAAFn+/iQ=")</f>
        <v>#VALUE!</v>
      </c>
      <c r="AL42" t="e">
        <f>AND('2015'!AS171,"AAAAAFn+/iU=")</f>
        <v>#VALUE!</v>
      </c>
      <c r="AM42" t="e">
        <f>AND('2015'!AT171,"AAAAAFn+/iY=")</f>
        <v>#VALUE!</v>
      </c>
      <c r="AN42" t="e">
        <f>AND('2015'!#REF!,"AAAAAFn+/ic=")</f>
        <v>#REF!</v>
      </c>
      <c r="AO42" t="e">
        <f>AND('2015'!AU171,"AAAAAFn+/ig=")</f>
        <v>#VALUE!</v>
      </c>
      <c r="AP42" t="e">
        <f>AND('2015'!AV171,"AAAAAFn+/ik=")</f>
        <v>#VALUE!</v>
      </c>
      <c r="AQ42" t="e">
        <f>AND('2015'!AW171,"AAAAAFn+/io=")</f>
        <v>#VALUE!</v>
      </c>
      <c r="AR42" t="e">
        <f>AND('2015'!AX171,"AAAAAFn+/is=")</f>
        <v>#VALUE!</v>
      </c>
      <c r="AS42" t="e">
        <f>AND('2015'!AY171,"AAAAAFn+/iw=")</f>
        <v>#VALUE!</v>
      </c>
      <c r="AT42" t="e">
        <f>AND('2015'!AZ171,"AAAAAFn+/i0=")</f>
        <v>#VALUE!</v>
      </c>
      <c r="AU42" t="e">
        <f>AND('2015'!BA171,"AAAAAFn+/i4=")</f>
        <v>#VALUE!</v>
      </c>
      <c r="AV42" t="e">
        <f>AND('2015'!BB171,"AAAAAFn+/i8=")</f>
        <v>#VALUE!</v>
      </c>
      <c r="AW42" t="e">
        <f>AND('2015'!BC171,"AAAAAFn+/jA=")</f>
        <v>#VALUE!</v>
      </c>
      <c r="AX42" t="e">
        <f>AND('2015'!BD171,"AAAAAFn+/jE=")</f>
        <v>#VALUE!</v>
      </c>
      <c r="AY42" t="e">
        <f>AND('2015'!BE171,"AAAAAFn+/jI=")</f>
        <v>#VALUE!</v>
      </c>
      <c r="AZ42" t="e">
        <f>AND('2015'!BF171,"AAAAAFn+/jM=")</f>
        <v>#VALUE!</v>
      </c>
      <c r="BA42" t="e">
        <f>AND('2015'!BG171,"AAAAAFn+/jQ=")</f>
        <v>#VALUE!</v>
      </c>
      <c r="BB42" t="e">
        <f>AND('2015'!BH171,"AAAAAFn+/jU=")</f>
        <v>#VALUE!</v>
      </c>
      <c r="BC42" t="e">
        <f>AND('2015'!BI171,"AAAAAFn+/jY=")</f>
        <v>#VALUE!</v>
      </c>
      <c r="BD42" t="e">
        <f>AND('2015'!#REF!,"AAAAAFn+/jc=")</f>
        <v>#REF!</v>
      </c>
      <c r="BE42" t="e">
        <f>AND('2015'!BJ171,"AAAAAFn+/jg=")</f>
        <v>#VALUE!</v>
      </c>
      <c r="BF42" t="e">
        <f>AND('2015'!BK171,"AAAAAFn+/jk=")</f>
        <v>#VALUE!</v>
      </c>
      <c r="BG42" t="e">
        <f>AND('2015'!BL171,"AAAAAFn+/jo=")</f>
        <v>#VALUE!</v>
      </c>
      <c r="BH42" t="e">
        <f>AND('2015'!BM171,"AAAAAFn+/js=")</f>
        <v>#VALUE!</v>
      </c>
      <c r="BI42" t="e">
        <f>AND('2015'!BY171,"AAAAAFn+/jw=")</f>
        <v>#VALUE!</v>
      </c>
      <c r="BJ42">
        <f>IF('2015'!172:172,"AAAAAFn+/j0=",0)</f>
        <v>0</v>
      </c>
      <c r="BK42" t="e">
        <f>AND('2015'!A172,"AAAAAFn+/j4=")</f>
        <v>#VALUE!</v>
      </c>
      <c r="BL42" t="e">
        <f>AND('2015'!B172,"AAAAAFn+/j8=")</f>
        <v>#VALUE!</v>
      </c>
      <c r="BM42" t="e">
        <f>AND('2015'!C172,"AAAAAFn+/kA=")</f>
        <v>#VALUE!</v>
      </c>
      <c r="BN42" t="e">
        <f>AND('2015'!D172,"AAAAAFn+/kE=")</f>
        <v>#VALUE!</v>
      </c>
      <c r="BO42" t="e">
        <f>AND('2015'!E172,"AAAAAFn+/kI=")</f>
        <v>#VALUE!</v>
      </c>
      <c r="BP42" t="e">
        <f>AND('2015'!F172,"AAAAAFn+/kM=")</f>
        <v>#VALUE!</v>
      </c>
      <c r="BQ42" t="e">
        <f>AND('2015'!G172,"AAAAAFn+/kQ=")</f>
        <v>#VALUE!</v>
      </c>
      <c r="BR42" t="e">
        <f>AND('2015'!H172,"AAAAAFn+/kU=")</f>
        <v>#VALUE!</v>
      </c>
      <c r="BS42" t="e">
        <f>AND('2015'!I172,"AAAAAFn+/kY=")</f>
        <v>#VALUE!</v>
      </c>
      <c r="BT42" t="e">
        <f>AND('2015'!J172,"AAAAAFn+/kc=")</f>
        <v>#VALUE!</v>
      </c>
      <c r="BU42" t="e">
        <f>AND('2015'!K172,"AAAAAFn+/kg=")</f>
        <v>#VALUE!</v>
      </c>
      <c r="BV42" t="e">
        <f>AND('2015'!L172,"AAAAAFn+/kk=")</f>
        <v>#VALUE!</v>
      </c>
      <c r="BW42" t="e">
        <f>AND('2015'!M172,"AAAAAFn+/ko=")</f>
        <v>#VALUE!</v>
      </c>
      <c r="BX42" t="e">
        <f>AND('2015'!N172,"AAAAAFn+/ks=")</f>
        <v>#VALUE!</v>
      </c>
      <c r="BY42" t="e">
        <f>AND('2015'!O172,"AAAAAFn+/kw=")</f>
        <v>#VALUE!</v>
      </c>
      <c r="BZ42" t="e">
        <f>AND('2015'!P172,"AAAAAFn+/k0=")</f>
        <v>#VALUE!</v>
      </c>
      <c r="CA42" t="e">
        <f>AND('2015'!Q172,"AAAAAFn+/k4=")</f>
        <v>#VALUE!</v>
      </c>
      <c r="CB42" t="e">
        <f>AND('2015'!R172,"AAAAAFn+/k8=")</f>
        <v>#VALUE!</v>
      </c>
      <c r="CC42" t="e">
        <f>AND('2015'!S172,"AAAAAFn+/lA=")</f>
        <v>#VALUE!</v>
      </c>
      <c r="CD42" t="e">
        <f>AND('2015'!T172,"AAAAAFn+/lE=")</f>
        <v>#VALUE!</v>
      </c>
      <c r="CE42" t="e">
        <f>AND('2015'!U172,"AAAAAFn+/lI=")</f>
        <v>#VALUE!</v>
      </c>
      <c r="CF42" t="e">
        <f>AND('2015'!V172,"AAAAAFn+/lM=")</f>
        <v>#VALUE!</v>
      </c>
      <c r="CG42" t="e">
        <f>AND('2015'!W172,"AAAAAFn+/lQ=")</f>
        <v>#VALUE!</v>
      </c>
      <c r="CH42" t="e">
        <f>AND('2015'!X172,"AAAAAFn+/lU=")</f>
        <v>#VALUE!</v>
      </c>
      <c r="CI42" t="e">
        <f>AND('2015'!Y172,"AAAAAFn+/lY=")</f>
        <v>#VALUE!</v>
      </c>
      <c r="CJ42" t="e">
        <f>AND('2015'!Z172,"AAAAAFn+/lc=")</f>
        <v>#VALUE!</v>
      </c>
      <c r="CK42" t="e">
        <f>AND('2015'!AA172,"AAAAAFn+/lg=")</f>
        <v>#VALUE!</v>
      </c>
      <c r="CL42" t="e">
        <f>AND('2015'!AB172,"AAAAAFn+/lk=")</f>
        <v>#VALUE!</v>
      </c>
      <c r="CM42" t="e">
        <f>AND('2015'!AC172,"AAAAAFn+/lo=")</f>
        <v>#VALUE!</v>
      </c>
      <c r="CN42" t="e">
        <f>AND('2015'!AD172,"AAAAAFn+/ls=")</f>
        <v>#VALUE!</v>
      </c>
      <c r="CO42" t="e">
        <f>AND('2015'!AE172,"AAAAAFn+/lw=")</f>
        <v>#VALUE!</v>
      </c>
      <c r="CP42" t="e">
        <f>AND('2015'!AF172,"AAAAAFn+/l0=")</f>
        <v>#VALUE!</v>
      </c>
      <c r="CQ42" t="e">
        <f>AND('2015'!AG172,"AAAAAFn+/l4=")</f>
        <v>#VALUE!</v>
      </c>
      <c r="CR42" t="e">
        <f>AND('2015'!AH172,"AAAAAFn+/l8=")</f>
        <v>#VALUE!</v>
      </c>
      <c r="CS42" t="e">
        <f>AND('2015'!AI172,"AAAAAFn+/mA=")</f>
        <v>#VALUE!</v>
      </c>
      <c r="CT42" t="e">
        <f>AND('2015'!AJ172,"AAAAAFn+/mE=")</f>
        <v>#VALUE!</v>
      </c>
      <c r="CU42" t="e">
        <f>AND('2015'!AK172,"AAAAAFn+/mI=")</f>
        <v>#VALUE!</v>
      </c>
      <c r="CV42" t="e">
        <f>AND('2015'!AL172,"AAAAAFn+/mM=")</f>
        <v>#VALUE!</v>
      </c>
      <c r="CW42" t="e">
        <f>AND('2015'!AM172,"AAAAAFn+/mQ=")</f>
        <v>#VALUE!</v>
      </c>
      <c r="CX42" t="e">
        <f>AND('2015'!AN172,"AAAAAFn+/mU=")</f>
        <v>#VALUE!</v>
      </c>
      <c r="CY42" t="e">
        <f>AND('2015'!AO172,"AAAAAFn+/mY=")</f>
        <v>#VALUE!</v>
      </c>
      <c r="CZ42" t="e">
        <f>AND('2015'!AP172,"AAAAAFn+/mc=")</f>
        <v>#VALUE!</v>
      </c>
      <c r="DA42" t="e">
        <f>AND('2015'!AQ172,"AAAAAFn+/mg=")</f>
        <v>#VALUE!</v>
      </c>
      <c r="DB42" t="e">
        <f>AND('2015'!AR172,"AAAAAFn+/mk=")</f>
        <v>#VALUE!</v>
      </c>
      <c r="DC42" t="e">
        <f>AND('2015'!AS172,"AAAAAFn+/mo=")</f>
        <v>#VALUE!</v>
      </c>
      <c r="DD42" t="e">
        <f>AND('2015'!AT172,"AAAAAFn+/ms=")</f>
        <v>#VALUE!</v>
      </c>
      <c r="DE42" t="e">
        <f>AND('2015'!#REF!,"AAAAAFn+/mw=")</f>
        <v>#REF!</v>
      </c>
      <c r="DF42" t="e">
        <f>AND('2015'!AU172,"AAAAAFn+/m0=")</f>
        <v>#VALUE!</v>
      </c>
      <c r="DG42" t="e">
        <f>AND('2015'!AV172,"AAAAAFn+/m4=")</f>
        <v>#VALUE!</v>
      </c>
      <c r="DH42" t="e">
        <f>AND('2015'!AW172,"AAAAAFn+/m8=")</f>
        <v>#VALUE!</v>
      </c>
      <c r="DI42" t="e">
        <f>AND('2015'!AX172,"AAAAAFn+/nA=")</f>
        <v>#VALUE!</v>
      </c>
      <c r="DJ42" t="e">
        <f>AND('2015'!AY172,"AAAAAFn+/nE=")</f>
        <v>#VALUE!</v>
      </c>
      <c r="DK42" t="e">
        <f>AND('2015'!AZ172,"AAAAAFn+/nI=")</f>
        <v>#VALUE!</v>
      </c>
      <c r="DL42" t="e">
        <f>AND('2015'!BA172,"AAAAAFn+/nM=")</f>
        <v>#VALUE!</v>
      </c>
      <c r="DM42" t="e">
        <f>AND('2015'!BB172,"AAAAAFn+/nQ=")</f>
        <v>#VALUE!</v>
      </c>
      <c r="DN42" t="e">
        <f>AND('2015'!BC172,"AAAAAFn+/nU=")</f>
        <v>#VALUE!</v>
      </c>
      <c r="DO42" t="e">
        <f>AND('2015'!BD172,"AAAAAFn+/nY=")</f>
        <v>#VALUE!</v>
      </c>
      <c r="DP42" t="e">
        <f>AND('2015'!BE172,"AAAAAFn+/nc=")</f>
        <v>#VALUE!</v>
      </c>
      <c r="DQ42" t="e">
        <f>AND('2015'!BF172,"AAAAAFn+/ng=")</f>
        <v>#VALUE!</v>
      </c>
      <c r="DR42" t="e">
        <f>AND('2015'!BG172,"AAAAAFn+/nk=")</f>
        <v>#VALUE!</v>
      </c>
      <c r="DS42" t="e">
        <f>AND('2015'!BH172,"AAAAAFn+/no=")</f>
        <v>#VALUE!</v>
      </c>
      <c r="DT42" t="e">
        <f>AND('2015'!BI172,"AAAAAFn+/ns=")</f>
        <v>#VALUE!</v>
      </c>
      <c r="DU42" t="e">
        <f>AND('2015'!#REF!,"AAAAAFn+/nw=")</f>
        <v>#REF!</v>
      </c>
      <c r="DV42" t="e">
        <f>AND('2015'!BJ172,"AAAAAFn+/n0=")</f>
        <v>#VALUE!</v>
      </c>
      <c r="DW42" t="e">
        <f>AND('2015'!BK172,"AAAAAFn+/n4=")</f>
        <v>#VALUE!</v>
      </c>
      <c r="DX42" t="e">
        <f>AND('2015'!BL172,"AAAAAFn+/n8=")</f>
        <v>#VALUE!</v>
      </c>
      <c r="DY42" t="e">
        <f>AND('2015'!BM172,"AAAAAFn+/oA=")</f>
        <v>#VALUE!</v>
      </c>
      <c r="DZ42" t="e">
        <f>AND('2015'!BY172,"AAAAAFn+/oE=")</f>
        <v>#VALUE!</v>
      </c>
      <c r="EA42">
        <f>IF('2015'!173:173,"AAAAAFn+/oI=",0)</f>
        <v>0</v>
      </c>
      <c r="EB42" t="e">
        <f>AND('2015'!A173,"AAAAAFn+/oM=")</f>
        <v>#VALUE!</v>
      </c>
      <c r="EC42" t="e">
        <f>AND('2015'!B173,"AAAAAFn+/oQ=")</f>
        <v>#VALUE!</v>
      </c>
      <c r="ED42" t="e">
        <f>AND('2015'!C173,"AAAAAFn+/oU=")</f>
        <v>#VALUE!</v>
      </c>
      <c r="EE42" t="e">
        <f>AND('2015'!D173,"AAAAAFn+/oY=")</f>
        <v>#VALUE!</v>
      </c>
      <c r="EF42" t="e">
        <f>AND('2015'!E173,"AAAAAFn+/oc=")</f>
        <v>#VALUE!</v>
      </c>
      <c r="EG42" t="e">
        <f>AND('2015'!F173,"AAAAAFn+/og=")</f>
        <v>#VALUE!</v>
      </c>
      <c r="EH42" t="e">
        <f>AND('2015'!G173,"AAAAAFn+/ok=")</f>
        <v>#VALUE!</v>
      </c>
      <c r="EI42" t="e">
        <f>AND('2015'!H173,"AAAAAFn+/oo=")</f>
        <v>#VALUE!</v>
      </c>
      <c r="EJ42" t="e">
        <f>AND('2015'!I173,"AAAAAFn+/os=")</f>
        <v>#VALUE!</v>
      </c>
      <c r="EK42" t="e">
        <f>AND('2015'!J173,"AAAAAFn+/ow=")</f>
        <v>#VALUE!</v>
      </c>
      <c r="EL42" t="e">
        <f>AND('2015'!K173,"AAAAAFn+/o0=")</f>
        <v>#VALUE!</v>
      </c>
      <c r="EM42" t="e">
        <f>AND('2015'!L173,"AAAAAFn+/o4=")</f>
        <v>#VALUE!</v>
      </c>
      <c r="EN42" t="e">
        <f>AND('2015'!M173,"AAAAAFn+/o8=")</f>
        <v>#VALUE!</v>
      </c>
      <c r="EO42" t="e">
        <f>AND('2015'!N173,"AAAAAFn+/pA=")</f>
        <v>#VALUE!</v>
      </c>
      <c r="EP42" t="e">
        <f>AND('2015'!O173,"AAAAAFn+/pE=")</f>
        <v>#VALUE!</v>
      </c>
      <c r="EQ42" t="e">
        <f>AND('2015'!P173,"AAAAAFn+/pI=")</f>
        <v>#VALUE!</v>
      </c>
      <c r="ER42" t="e">
        <f>AND('2015'!Q173,"AAAAAFn+/pM=")</f>
        <v>#VALUE!</v>
      </c>
      <c r="ES42" t="e">
        <f>AND('2015'!R173,"AAAAAFn+/pQ=")</f>
        <v>#VALUE!</v>
      </c>
      <c r="ET42" t="e">
        <f>AND('2015'!S173,"AAAAAFn+/pU=")</f>
        <v>#VALUE!</v>
      </c>
      <c r="EU42" t="e">
        <f>AND('2015'!T173,"AAAAAFn+/pY=")</f>
        <v>#VALUE!</v>
      </c>
      <c r="EV42" t="e">
        <f>AND('2015'!U173,"AAAAAFn+/pc=")</f>
        <v>#VALUE!</v>
      </c>
      <c r="EW42" t="e">
        <f>AND('2015'!V173,"AAAAAFn+/pg=")</f>
        <v>#VALUE!</v>
      </c>
      <c r="EX42" t="e">
        <f>AND('2015'!W173,"AAAAAFn+/pk=")</f>
        <v>#VALUE!</v>
      </c>
      <c r="EY42" t="e">
        <f>AND('2015'!X173,"AAAAAFn+/po=")</f>
        <v>#VALUE!</v>
      </c>
      <c r="EZ42" t="e">
        <f>AND('2015'!Y173,"AAAAAFn+/ps=")</f>
        <v>#VALUE!</v>
      </c>
      <c r="FA42" t="e">
        <f>AND('2015'!Z173,"AAAAAFn+/pw=")</f>
        <v>#VALUE!</v>
      </c>
      <c r="FB42" t="e">
        <f>AND('2015'!AA173,"AAAAAFn+/p0=")</f>
        <v>#VALUE!</v>
      </c>
      <c r="FC42" t="e">
        <f>AND('2015'!AB173,"AAAAAFn+/p4=")</f>
        <v>#VALUE!</v>
      </c>
      <c r="FD42" t="e">
        <f>AND('2015'!AC173,"AAAAAFn+/p8=")</f>
        <v>#VALUE!</v>
      </c>
      <c r="FE42" t="e">
        <f>AND('2015'!AD173,"AAAAAFn+/qA=")</f>
        <v>#VALUE!</v>
      </c>
      <c r="FF42" t="e">
        <f>AND('2015'!AE173,"AAAAAFn+/qE=")</f>
        <v>#VALUE!</v>
      </c>
      <c r="FG42" t="e">
        <f>AND('2015'!AF173,"AAAAAFn+/qI=")</f>
        <v>#VALUE!</v>
      </c>
      <c r="FH42" t="e">
        <f>AND('2015'!AG173,"AAAAAFn+/qM=")</f>
        <v>#VALUE!</v>
      </c>
      <c r="FI42" t="e">
        <f>AND('2015'!AH173,"AAAAAFn+/qQ=")</f>
        <v>#VALUE!</v>
      </c>
      <c r="FJ42" t="e">
        <f>AND('2015'!AI173,"AAAAAFn+/qU=")</f>
        <v>#VALUE!</v>
      </c>
      <c r="FK42" t="e">
        <f>AND('2015'!AJ173,"AAAAAFn+/qY=")</f>
        <v>#VALUE!</v>
      </c>
      <c r="FL42" t="e">
        <f>AND('2015'!AK173,"AAAAAFn+/qc=")</f>
        <v>#VALUE!</v>
      </c>
      <c r="FM42" t="e">
        <f>AND('2015'!AL173,"AAAAAFn+/qg=")</f>
        <v>#VALUE!</v>
      </c>
      <c r="FN42" t="e">
        <f>AND('2015'!AM173,"AAAAAFn+/qk=")</f>
        <v>#VALUE!</v>
      </c>
      <c r="FO42" t="e">
        <f>AND('2015'!AN173,"AAAAAFn+/qo=")</f>
        <v>#VALUE!</v>
      </c>
      <c r="FP42" t="e">
        <f>AND('2015'!AO173,"AAAAAFn+/qs=")</f>
        <v>#VALUE!</v>
      </c>
      <c r="FQ42" t="e">
        <f>AND('2015'!AP173,"AAAAAFn+/qw=")</f>
        <v>#VALUE!</v>
      </c>
      <c r="FR42" t="e">
        <f>AND('2015'!AQ173,"AAAAAFn+/q0=")</f>
        <v>#VALUE!</v>
      </c>
      <c r="FS42" t="e">
        <f>AND('2015'!AR173,"AAAAAFn+/q4=")</f>
        <v>#VALUE!</v>
      </c>
      <c r="FT42" t="e">
        <f>AND('2015'!AS173,"AAAAAFn+/q8=")</f>
        <v>#VALUE!</v>
      </c>
      <c r="FU42" t="e">
        <f>AND('2015'!AT173,"AAAAAFn+/rA=")</f>
        <v>#VALUE!</v>
      </c>
      <c r="FV42" t="e">
        <f>AND('2015'!#REF!,"AAAAAFn+/rE=")</f>
        <v>#REF!</v>
      </c>
      <c r="FW42" t="e">
        <f>AND('2015'!AU173,"AAAAAFn+/rI=")</f>
        <v>#VALUE!</v>
      </c>
      <c r="FX42" t="e">
        <f>AND('2015'!AV173,"AAAAAFn+/rM=")</f>
        <v>#VALUE!</v>
      </c>
      <c r="FY42" t="e">
        <f>AND('2015'!AW173,"AAAAAFn+/rQ=")</f>
        <v>#VALUE!</v>
      </c>
      <c r="FZ42" t="e">
        <f>AND('2015'!AX173,"AAAAAFn+/rU=")</f>
        <v>#VALUE!</v>
      </c>
      <c r="GA42" t="e">
        <f>AND('2015'!AY173,"AAAAAFn+/rY=")</f>
        <v>#VALUE!</v>
      </c>
      <c r="GB42" t="e">
        <f>AND('2015'!AZ173,"AAAAAFn+/rc=")</f>
        <v>#VALUE!</v>
      </c>
      <c r="GC42" t="e">
        <f>AND('2015'!BA173,"AAAAAFn+/rg=")</f>
        <v>#VALUE!</v>
      </c>
      <c r="GD42" t="e">
        <f>AND('2015'!BB173,"AAAAAFn+/rk=")</f>
        <v>#VALUE!</v>
      </c>
      <c r="GE42" t="e">
        <f>AND('2015'!BC173,"AAAAAFn+/ro=")</f>
        <v>#VALUE!</v>
      </c>
      <c r="GF42" t="e">
        <f>AND('2015'!BD173,"AAAAAFn+/rs=")</f>
        <v>#VALUE!</v>
      </c>
      <c r="GG42" t="e">
        <f>AND('2015'!BE173,"AAAAAFn+/rw=")</f>
        <v>#VALUE!</v>
      </c>
      <c r="GH42" t="e">
        <f>AND('2015'!BF173,"AAAAAFn+/r0=")</f>
        <v>#VALUE!</v>
      </c>
      <c r="GI42" t="e">
        <f>AND('2015'!BG173,"AAAAAFn+/r4=")</f>
        <v>#VALUE!</v>
      </c>
      <c r="GJ42" t="e">
        <f>AND('2015'!BH173,"AAAAAFn+/r8=")</f>
        <v>#VALUE!</v>
      </c>
      <c r="GK42" t="e">
        <f>AND('2015'!BI173,"AAAAAFn+/sA=")</f>
        <v>#VALUE!</v>
      </c>
      <c r="GL42" t="e">
        <f>AND('2015'!#REF!,"AAAAAFn+/sE=")</f>
        <v>#REF!</v>
      </c>
      <c r="GM42" t="e">
        <f>AND('2015'!BJ173,"AAAAAFn+/sI=")</f>
        <v>#VALUE!</v>
      </c>
      <c r="GN42" t="e">
        <f>AND('2015'!BK173,"AAAAAFn+/sM=")</f>
        <v>#VALUE!</v>
      </c>
      <c r="GO42" t="e">
        <f>AND('2015'!BL173,"AAAAAFn+/sQ=")</f>
        <v>#VALUE!</v>
      </c>
      <c r="GP42" t="e">
        <f>AND('2015'!BM173,"AAAAAFn+/sU=")</f>
        <v>#VALUE!</v>
      </c>
      <c r="GQ42" t="e">
        <f>AND('2015'!BY173,"AAAAAFn+/sY=")</f>
        <v>#VALUE!</v>
      </c>
      <c r="GR42">
        <f>IF('2015'!174:174,"AAAAAFn+/sc=",0)</f>
        <v>0</v>
      </c>
      <c r="GS42" t="e">
        <f>AND('2015'!A174,"AAAAAFn+/sg=")</f>
        <v>#VALUE!</v>
      </c>
      <c r="GT42" t="e">
        <f>AND('2015'!B174,"AAAAAFn+/sk=")</f>
        <v>#VALUE!</v>
      </c>
      <c r="GU42" t="e">
        <f>AND('2015'!C174,"AAAAAFn+/so=")</f>
        <v>#VALUE!</v>
      </c>
      <c r="GV42" t="e">
        <f>AND('2015'!D174,"AAAAAFn+/ss=")</f>
        <v>#VALUE!</v>
      </c>
      <c r="GW42" t="e">
        <f>AND('2015'!E174,"AAAAAFn+/sw=")</f>
        <v>#VALUE!</v>
      </c>
      <c r="GX42" t="e">
        <f>AND('2015'!F174,"AAAAAFn+/s0=")</f>
        <v>#VALUE!</v>
      </c>
      <c r="GY42" t="e">
        <f>AND('2015'!G174,"AAAAAFn+/s4=")</f>
        <v>#VALUE!</v>
      </c>
      <c r="GZ42" t="e">
        <f>AND('2015'!H174,"AAAAAFn+/s8=")</f>
        <v>#VALUE!</v>
      </c>
      <c r="HA42" t="e">
        <f>AND('2015'!I174,"AAAAAFn+/tA=")</f>
        <v>#VALUE!</v>
      </c>
      <c r="HB42" t="e">
        <f>AND('2015'!J174,"AAAAAFn+/tE=")</f>
        <v>#VALUE!</v>
      </c>
      <c r="HC42" t="e">
        <f>AND('2015'!K174,"AAAAAFn+/tI=")</f>
        <v>#VALUE!</v>
      </c>
      <c r="HD42" t="e">
        <f>AND('2015'!L174,"AAAAAFn+/tM=")</f>
        <v>#VALUE!</v>
      </c>
      <c r="HE42" t="e">
        <f>AND('2015'!M174,"AAAAAFn+/tQ=")</f>
        <v>#VALUE!</v>
      </c>
      <c r="HF42" t="e">
        <f>AND('2015'!N174,"AAAAAFn+/tU=")</f>
        <v>#VALUE!</v>
      </c>
      <c r="HG42" t="e">
        <f>AND('2015'!O174,"AAAAAFn+/tY=")</f>
        <v>#VALUE!</v>
      </c>
      <c r="HH42" t="e">
        <f>AND('2015'!P174,"AAAAAFn+/tc=")</f>
        <v>#VALUE!</v>
      </c>
      <c r="HI42" t="e">
        <f>AND('2015'!Q174,"AAAAAFn+/tg=")</f>
        <v>#VALUE!</v>
      </c>
      <c r="HJ42" t="e">
        <f>AND('2015'!R174,"AAAAAFn+/tk=")</f>
        <v>#VALUE!</v>
      </c>
      <c r="HK42" t="e">
        <f>AND('2015'!S174,"AAAAAFn+/to=")</f>
        <v>#VALUE!</v>
      </c>
      <c r="HL42" t="e">
        <f>AND('2015'!T174,"AAAAAFn+/ts=")</f>
        <v>#VALUE!</v>
      </c>
      <c r="HM42" t="e">
        <f>AND('2015'!U174,"AAAAAFn+/tw=")</f>
        <v>#VALUE!</v>
      </c>
      <c r="HN42" t="e">
        <f>AND('2015'!V174,"AAAAAFn+/t0=")</f>
        <v>#VALUE!</v>
      </c>
      <c r="HO42" t="e">
        <f>AND('2015'!W174,"AAAAAFn+/t4=")</f>
        <v>#VALUE!</v>
      </c>
      <c r="HP42" t="e">
        <f>AND('2015'!X174,"AAAAAFn+/t8=")</f>
        <v>#VALUE!</v>
      </c>
      <c r="HQ42" t="e">
        <f>AND('2015'!Y174,"AAAAAFn+/uA=")</f>
        <v>#VALUE!</v>
      </c>
      <c r="HR42" t="e">
        <f>AND('2015'!Z174,"AAAAAFn+/uE=")</f>
        <v>#VALUE!</v>
      </c>
      <c r="HS42" t="e">
        <f>AND('2015'!AA174,"AAAAAFn+/uI=")</f>
        <v>#VALUE!</v>
      </c>
      <c r="HT42" t="e">
        <f>AND('2015'!AB174,"AAAAAFn+/uM=")</f>
        <v>#VALUE!</v>
      </c>
      <c r="HU42" t="e">
        <f>AND('2015'!AC174,"AAAAAFn+/uQ=")</f>
        <v>#VALUE!</v>
      </c>
      <c r="HV42" t="e">
        <f>AND('2015'!AD174,"AAAAAFn+/uU=")</f>
        <v>#VALUE!</v>
      </c>
      <c r="HW42" t="e">
        <f>AND('2015'!AE174,"AAAAAFn+/uY=")</f>
        <v>#VALUE!</v>
      </c>
      <c r="HX42" t="e">
        <f>AND('2015'!AF174,"AAAAAFn+/uc=")</f>
        <v>#VALUE!</v>
      </c>
      <c r="HY42" t="e">
        <f>AND('2015'!AG174,"AAAAAFn+/ug=")</f>
        <v>#VALUE!</v>
      </c>
      <c r="HZ42" t="e">
        <f>AND('2015'!AH174,"AAAAAFn+/uk=")</f>
        <v>#VALUE!</v>
      </c>
      <c r="IA42" t="e">
        <f>AND('2015'!AI174,"AAAAAFn+/uo=")</f>
        <v>#VALUE!</v>
      </c>
      <c r="IB42" t="e">
        <f>AND('2015'!AJ174,"AAAAAFn+/us=")</f>
        <v>#VALUE!</v>
      </c>
      <c r="IC42" t="e">
        <f>AND('2015'!AK174,"AAAAAFn+/uw=")</f>
        <v>#VALUE!</v>
      </c>
      <c r="ID42" t="e">
        <f>AND('2015'!AL174,"AAAAAFn+/u0=")</f>
        <v>#VALUE!</v>
      </c>
      <c r="IE42" t="e">
        <f>AND('2015'!AM174,"AAAAAFn+/u4=")</f>
        <v>#VALUE!</v>
      </c>
      <c r="IF42" t="e">
        <f>AND('2015'!AN174,"AAAAAFn+/u8=")</f>
        <v>#VALUE!</v>
      </c>
      <c r="IG42" t="e">
        <f>AND('2015'!AO174,"AAAAAFn+/vA=")</f>
        <v>#VALUE!</v>
      </c>
      <c r="IH42" t="e">
        <f>AND('2015'!AP174,"AAAAAFn+/vE=")</f>
        <v>#VALUE!</v>
      </c>
      <c r="II42" t="e">
        <f>AND('2015'!AQ174,"AAAAAFn+/vI=")</f>
        <v>#VALUE!</v>
      </c>
      <c r="IJ42" t="e">
        <f>AND('2015'!AR174,"AAAAAFn+/vM=")</f>
        <v>#VALUE!</v>
      </c>
      <c r="IK42" t="e">
        <f>AND('2015'!AS174,"AAAAAFn+/vQ=")</f>
        <v>#VALUE!</v>
      </c>
      <c r="IL42" t="e">
        <f>AND('2015'!AT174,"AAAAAFn+/vU=")</f>
        <v>#VALUE!</v>
      </c>
      <c r="IM42" t="e">
        <f>AND('2015'!#REF!,"AAAAAFn+/vY=")</f>
        <v>#REF!</v>
      </c>
      <c r="IN42" t="e">
        <f>AND('2015'!AU174,"AAAAAFn+/vc=")</f>
        <v>#VALUE!</v>
      </c>
      <c r="IO42" t="e">
        <f>AND('2015'!AV174,"AAAAAFn+/vg=")</f>
        <v>#VALUE!</v>
      </c>
      <c r="IP42" t="e">
        <f>AND('2015'!AW174,"AAAAAFn+/vk=")</f>
        <v>#VALUE!</v>
      </c>
      <c r="IQ42" t="e">
        <f>AND('2015'!AX174,"AAAAAFn+/vo=")</f>
        <v>#VALUE!</v>
      </c>
      <c r="IR42" t="e">
        <f>AND('2015'!AY174,"AAAAAFn+/vs=")</f>
        <v>#VALUE!</v>
      </c>
      <c r="IS42" t="e">
        <f>AND('2015'!AZ174,"AAAAAFn+/vw=")</f>
        <v>#VALUE!</v>
      </c>
      <c r="IT42" t="e">
        <f>AND('2015'!BA174,"AAAAAFn+/v0=")</f>
        <v>#VALUE!</v>
      </c>
      <c r="IU42" t="e">
        <f>AND('2015'!BB174,"AAAAAFn+/v4=")</f>
        <v>#VALUE!</v>
      </c>
      <c r="IV42" t="e">
        <f>AND('2015'!BC174,"AAAAAFn+/v8=")</f>
        <v>#VALUE!</v>
      </c>
    </row>
    <row r="43" spans="1:256" x14ac:dyDescent="0.25">
      <c r="A43" t="e">
        <f>AND('2015'!BD174,"AAAAAEl//gA=")</f>
        <v>#VALUE!</v>
      </c>
      <c r="B43" t="e">
        <f>AND('2015'!BE174,"AAAAAEl//gE=")</f>
        <v>#VALUE!</v>
      </c>
      <c r="C43" t="e">
        <f>AND('2015'!BF174,"AAAAAEl//gI=")</f>
        <v>#VALUE!</v>
      </c>
      <c r="D43" t="e">
        <f>AND('2015'!BG174,"AAAAAEl//gM=")</f>
        <v>#VALUE!</v>
      </c>
      <c r="E43" t="e">
        <f>AND('2015'!BH174,"AAAAAEl//gQ=")</f>
        <v>#VALUE!</v>
      </c>
      <c r="F43" t="e">
        <f>AND('2015'!BI174,"AAAAAEl//gU=")</f>
        <v>#VALUE!</v>
      </c>
      <c r="G43" t="e">
        <f>AND('2015'!#REF!,"AAAAAEl//gY=")</f>
        <v>#REF!</v>
      </c>
      <c r="H43" t="e">
        <f>AND('2015'!BJ174,"AAAAAEl//gc=")</f>
        <v>#VALUE!</v>
      </c>
      <c r="I43" t="e">
        <f>AND('2015'!BK174,"AAAAAEl//gg=")</f>
        <v>#VALUE!</v>
      </c>
      <c r="J43" t="e">
        <f>AND('2015'!BL174,"AAAAAEl//gk=")</f>
        <v>#VALUE!</v>
      </c>
      <c r="K43" t="e">
        <f>AND('2015'!BM174,"AAAAAEl//go=")</f>
        <v>#VALUE!</v>
      </c>
      <c r="L43" t="e">
        <f>AND('2015'!BY174,"AAAAAEl//gs=")</f>
        <v>#VALUE!</v>
      </c>
      <c r="M43" t="str">
        <f>IF('2015'!175:175,"AAAAAEl//gw=",0)</f>
        <v>AAAAAEl//gw=</v>
      </c>
      <c r="N43" t="e">
        <f>AND('2015'!A175,"AAAAAEl//g0=")</f>
        <v>#VALUE!</v>
      </c>
      <c r="O43" t="e">
        <f>AND('2015'!B175,"AAAAAEl//g4=")</f>
        <v>#VALUE!</v>
      </c>
      <c r="P43" t="e">
        <f>AND('2015'!C175,"AAAAAEl//g8=")</f>
        <v>#VALUE!</v>
      </c>
      <c r="Q43" t="e">
        <f>AND('2015'!D175,"AAAAAEl//hA=")</f>
        <v>#VALUE!</v>
      </c>
      <c r="R43" t="e">
        <f>AND('2015'!E175,"AAAAAEl//hE=")</f>
        <v>#VALUE!</v>
      </c>
      <c r="S43" t="e">
        <f>AND('2015'!F175,"AAAAAEl//hI=")</f>
        <v>#VALUE!</v>
      </c>
      <c r="T43" t="e">
        <f>AND('2015'!G175,"AAAAAEl//hM=")</f>
        <v>#VALUE!</v>
      </c>
      <c r="U43" t="e">
        <f>AND('2015'!H175,"AAAAAEl//hQ=")</f>
        <v>#VALUE!</v>
      </c>
      <c r="V43" t="e">
        <f>AND('2015'!I175,"AAAAAEl//hU=")</f>
        <v>#VALUE!</v>
      </c>
      <c r="W43" t="e">
        <f>AND('2015'!J175,"AAAAAEl//hY=")</f>
        <v>#VALUE!</v>
      </c>
      <c r="X43" t="e">
        <f>AND('2015'!K175,"AAAAAEl//hc=")</f>
        <v>#VALUE!</v>
      </c>
      <c r="Y43" t="e">
        <f>AND('2015'!L175,"AAAAAEl//hg=")</f>
        <v>#VALUE!</v>
      </c>
      <c r="Z43" t="e">
        <f>AND('2015'!M175,"AAAAAEl//hk=")</f>
        <v>#VALUE!</v>
      </c>
      <c r="AA43" t="e">
        <f>AND('2015'!N175,"AAAAAEl//ho=")</f>
        <v>#VALUE!</v>
      </c>
      <c r="AB43" t="e">
        <f>AND('2015'!O175,"AAAAAEl//hs=")</f>
        <v>#VALUE!</v>
      </c>
      <c r="AC43" t="e">
        <f>AND('2015'!P175,"AAAAAEl//hw=")</f>
        <v>#VALUE!</v>
      </c>
      <c r="AD43" t="e">
        <f>AND('2015'!Q175,"AAAAAEl//h0=")</f>
        <v>#VALUE!</v>
      </c>
      <c r="AE43" t="e">
        <f>AND('2015'!R175,"AAAAAEl//h4=")</f>
        <v>#VALUE!</v>
      </c>
      <c r="AF43" t="e">
        <f>AND('2015'!S175,"AAAAAEl//h8=")</f>
        <v>#VALUE!</v>
      </c>
      <c r="AG43" t="e">
        <f>AND('2015'!T175,"AAAAAEl//iA=")</f>
        <v>#VALUE!</v>
      </c>
      <c r="AH43" t="e">
        <f>AND('2015'!U175,"AAAAAEl//iE=")</f>
        <v>#VALUE!</v>
      </c>
      <c r="AI43" t="e">
        <f>AND('2015'!V175,"AAAAAEl//iI=")</f>
        <v>#VALUE!</v>
      </c>
      <c r="AJ43" t="e">
        <f>AND('2015'!W175,"AAAAAEl//iM=")</f>
        <v>#VALUE!</v>
      </c>
      <c r="AK43" t="e">
        <f>AND('2015'!X175,"AAAAAEl//iQ=")</f>
        <v>#VALUE!</v>
      </c>
      <c r="AL43" t="e">
        <f>AND('2015'!Y175,"AAAAAEl//iU=")</f>
        <v>#VALUE!</v>
      </c>
      <c r="AM43" t="e">
        <f>AND('2015'!Z175,"AAAAAEl//iY=")</f>
        <v>#VALUE!</v>
      </c>
      <c r="AN43" t="e">
        <f>AND('2015'!AA175,"AAAAAEl//ic=")</f>
        <v>#VALUE!</v>
      </c>
      <c r="AO43" t="e">
        <f>AND('2015'!AB175,"AAAAAEl//ig=")</f>
        <v>#VALUE!</v>
      </c>
      <c r="AP43" t="e">
        <f>AND('2015'!AC175,"AAAAAEl//ik=")</f>
        <v>#VALUE!</v>
      </c>
      <c r="AQ43" t="e">
        <f>AND('2015'!AD175,"AAAAAEl//io=")</f>
        <v>#VALUE!</v>
      </c>
      <c r="AR43" t="e">
        <f>AND('2015'!AE175,"AAAAAEl//is=")</f>
        <v>#VALUE!</v>
      </c>
      <c r="AS43" t="e">
        <f>AND('2015'!AF175,"AAAAAEl//iw=")</f>
        <v>#VALUE!</v>
      </c>
      <c r="AT43" t="e">
        <f>AND('2015'!AG175,"AAAAAEl//i0=")</f>
        <v>#VALUE!</v>
      </c>
      <c r="AU43" t="e">
        <f>AND('2015'!AH175,"AAAAAEl//i4=")</f>
        <v>#VALUE!</v>
      </c>
      <c r="AV43" t="e">
        <f>AND('2015'!AI175,"AAAAAEl//i8=")</f>
        <v>#VALUE!</v>
      </c>
      <c r="AW43" t="e">
        <f>AND('2015'!AJ175,"AAAAAEl//jA=")</f>
        <v>#VALUE!</v>
      </c>
      <c r="AX43" t="e">
        <f>AND('2015'!AK175,"AAAAAEl//jE=")</f>
        <v>#VALUE!</v>
      </c>
      <c r="AY43" t="e">
        <f>AND('2015'!AL175,"AAAAAEl//jI=")</f>
        <v>#VALUE!</v>
      </c>
      <c r="AZ43" t="e">
        <f>AND('2015'!AM175,"AAAAAEl//jM=")</f>
        <v>#VALUE!</v>
      </c>
      <c r="BA43" t="e">
        <f>AND('2015'!AN175,"AAAAAEl//jQ=")</f>
        <v>#VALUE!</v>
      </c>
      <c r="BB43" t="e">
        <f>AND('2015'!AO175,"AAAAAEl//jU=")</f>
        <v>#VALUE!</v>
      </c>
      <c r="BC43" t="e">
        <f>AND('2015'!AP175,"AAAAAEl//jY=")</f>
        <v>#VALUE!</v>
      </c>
      <c r="BD43" t="e">
        <f>AND('2015'!AQ175,"AAAAAEl//jc=")</f>
        <v>#VALUE!</v>
      </c>
      <c r="BE43" t="e">
        <f>AND('2015'!AR175,"AAAAAEl//jg=")</f>
        <v>#VALUE!</v>
      </c>
      <c r="BF43" t="e">
        <f>AND('2015'!AS175,"AAAAAEl//jk=")</f>
        <v>#VALUE!</v>
      </c>
      <c r="BG43" t="e">
        <f>AND('2015'!AT175,"AAAAAEl//jo=")</f>
        <v>#VALUE!</v>
      </c>
      <c r="BH43" t="e">
        <f>AND('2015'!#REF!,"AAAAAEl//js=")</f>
        <v>#REF!</v>
      </c>
      <c r="BI43" t="e">
        <f>AND('2015'!AU175,"AAAAAEl//jw=")</f>
        <v>#VALUE!</v>
      </c>
      <c r="BJ43" t="e">
        <f>AND('2015'!AV175,"AAAAAEl//j0=")</f>
        <v>#VALUE!</v>
      </c>
      <c r="BK43" t="e">
        <f>AND('2015'!AW175,"AAAAAEl//j4=")</f>
        <v>#VALUE!</v>
      </c>
      <c r="BL43" t="e">
        <f>AND('2015'!AX175,"AAAAAEl//j8=")</f>
        <v>#VALUE!</v>
      </c>
      <c r="BM43" t="e">
        <f>AND('2015'!AY175,"AAAAAEl//kA=")</f>
        <v>#VALUE!</v>
      </c>
      <c r="BN43" t="e">
        <f>AND('2015'!AZ175,"AAAAAEl//kE=")</f>
        <v>#VALUE!</v>
      </c>
      <c r="BO43" t="e">
        <f>AND('2015'!BA175,"AAAAAEl//kI=")</f>
        <v>#VALUE!</v>
      </c>
      <c r="BP43" t="e">
        <f>AND('2015'!BB175,"AAAAAEl//kM=")</f>
        <v>#VALUE!</v>
      </c>
      <c r="BQ43" t="e">
        <f>AND('2015'!BC175,"AAAAAEl//kQ=")</f>
        <v>#VALUE!</v>
      </c>
      <c r="BR43" t="e">
        <f>AND('2015'!BD175,"AAAAAEl//kU=")</f>
        <v>#VALUE!</v>
      </c>
      <c r="BS43" t="e">
        <f>AND('2015'!BE175,"AAAAAEl//kY=")</f>
        <v>#VALUE!</v>
      </c>
      <c r="BT43" t="e">
        <f>AND('2015'!BF175,"AAAAAEl//kc=")</f>
        <v>#VALUE!</v>
      </c>
      <c r="BU43" t="e">
        <f>AND('2015'!BG175,"AAAAAEl//kg=")</f>
        <v>#VALUE!</v>
      </c>
      <c r="BV43" t="e">
        <f>AND('2015'!BH175,"AAAAAEl//kk=")</f>
        <v>#VALUE!</v>
      </c>
      <c r="BW43" t="e">
        <f>AND('2015'!BI175,"AAAAAEl//ko=")</f>
        <v>#VALUE!</v>
      </c>
      <c r="BX43" t="e">
        <f>AND('2015'!#REF!,"AAAAAEl//ks=")</f>
        <v>#REF!</v>
      </c>
      <c r="BY43" t="e">
        <f>AND('2015'!BJ175,"AAAAAEl//kw=")</f>
        <v>#VALUE!</v>
      </c>
      <c r="BZ43" t="e">
        <f>AND('2015'!BK175,"AAAAAEl//k0=")</f>
        <v>#VALUE!</v>
      </c>
      <c r="CA43" t="e">
        <f>AND('2015'!BL175,"AAAAAEl//k4=")</f>
        <v>#VALUE!</v>
      </c>
      <c r="CB43" t="e">
        <f>AND('2015'!BM175,"AAAAAEl//k8=")</f>
        <v>#VALUE!</v>
      </c>
      <c r="CC43" t="e">
        <f>AND('2015'!BY175,"AAAAAEl//lA=")</f>
        <v>#VALUE!</v>
      </c>
      <c r="CD43" t="str">
        <f>IF('2015'!176:176,"AAAAAEl//lE=",0)</f>
        <v>AAAAAEl//lE=</v>
      </c>
      <c r="CE43" t="e">
        <f>AND('2015'!A176,"AAAAAEl//lI=")</f>
        <v>#VALUE!</v>
      </c>
      <c r="CF43" t="e">
        <f>AND('2015'!B176,"AAAAAEl//lM=")</f>
        <v>#VALUE!</v>
      </c>
      <c r="CG43" t="e">
        <f>AND('2015'!C176,"AAAAAEl//lQ=")</f>
        <v>#VALUE!</v>
      </c>
      <c r="CH43" t="e">
        <f>AND('2015'!D176,"AAAAAEl//lU=")</f>
        <v>#VALUE!</v>
      </c>
      <c r="CI43" t="e">
        <f>AND('2015'!E176,"AAAAAEl//lY=")</f>
        <v>#VALUE!</v>
      </c>
      <c r="CJ43" t="e">
        <f>AND('2015'!F176,"AAAAAEl//lc=")</f>
        <v>#VALUE!</v>
      </c>
      <c r="CK43" t="e">
        <f>AND('2015'!G176,"AAAAAEl//lg=")</f>
        <v>#VALUE!</v>
      </c>
      <c r="CL43" t="e">
        <f>AND('2015'!H176,"AAAAAEl//lk=")</f>
        <v>#VALUE!</v>
      </c>
      <c r="CM43" t="e">
        <f>AND('2015'!I176,"AAAAAEl//lo=")</f>
        <v>#VALUE!</v>
      </c>
      <c r="CN43" t="e">
        <f>AND('2015'!J176,"AAAAAEl//ls=")</f>
        <v>#VALUE!</v>
      </c>
      <c r="CO43" t="e">
        <f>AND('2015'!K176,"AAAAAEl//lw=")</f>
        <v>#VALUE!</v>
      </c>
      <c r="CP43" t="e">
        <f>AND('2015'!L176,"AAAAAEl//l0=")</f>
        <v>#VALUE!</v>
      </c>
      <c r="CQ43" t="e">
        <f>AND('2015'!M176,"AAAAAEl//l4=")</f>
        <v>#VALUE!</v>
      </c>
      <c r="CR43" t="e">
        <f>AND('2015'!N176,"AAAAAEl//l8=")</f>
        <v>#VALUE!</v>
      </c>
      <c r="CS43" t="e">
        <f>AND('2015'!O176,"AAAAAEl//mA=")</f>
        <v>#VALUE!</v>
      </c>
      <c r="CT43" t="e">
        <f>AND('2015'!P176,"AAAAAEl//mE=")</f>
        <v>#VALUE!</v>
      </c>
      <c r="CU43" t="e">
        <f>AND('2015'!Q176,"AAAAAEl//mI=")</f>
        <v>#VALUE!</v>
      </c>
      <c r="CV43" t="e">
        <f>AND('2015'!R176,"AAAAAEl//mM=")</f>
        <v>#VALUE!</v>
      </c>
      <c r="CW43" t="e">
        <f>AND('2015'!S176,"AAAAAEl//mQ=")</f>
        <v>#VALUE!</v>
      </c>
      <c r="CX43" t="e">
        <f>AND('2015'!T176,"AAAAAEl//mU=")</f>
        <v>#VALUE!</v>
      </c>
      <c r="CY43" t="e">
        <f>AND('2015'!U176,"AAAAAEl//mY=")</f>
        <v>#VALUE!</v>
      </c>
      <c r="CZ43" t="e">
        <f>AND('2015'!V176,"AAAAAEl//mc=")</f>
        <v>#VALUE!</v>
      </c>
      <c r="DA43" t="e">
        <f>AND('2015'!W176,"AAAAAEl//mg=")</f>
        <v>#VALUE!</v>
      </c>
      <c r="DB43" t="e">
        <f>AND('2015'!X176,"AAAAAEl//mk=")</f>
        <v>#VALUE!</v>
      </c>
      <c r="DC43" t="e">
        <f>AND('2015'!Y176,"AAAAAEl//mo=")</f>
        <v>#VALUE!</v>
      </c>
      <c r="DD43" t="e">
        <f>AND('2015'!Z176,"AAAAAEl//ms=")</f>
        <v>#VALUE!</v>
      </c>
      <c r="DE43" t="e">
        <f>AND('2015'!AA176,"AAAAAEl//mw=")</f>
        <v>#VALUE!</v>
      </c>
      <c r="DF43" t="e">
        <f>AND('2015'!AB176,"AAAAAEl//m0=")</f>
        <v>#VALUE!</v>
      </c>
      <c r="DG43" t="e">
        <f>AND('2015'!AC176,"AAAAAEl//m4=")</f>
        <v>#VALUE!</v>
      </c>
      <c r="DH43" t="e">
        <f>AND('2015'!AD176,"AAAAAEl//m8=")</f>
        <v>#VALUE!</v>
      </c>
      <c r="DI43" t="e">
        <f>AND('2015'!AE176,"AAAAAEl//nA=")</f>
        <v>#VALUE!</v>
      </c>
      <c r="DJ43" t="e">
        <f>AND('2015'!AF176,"AAAAAEl//nE=")</f>
        <v>#VALUE!</v>
      </c>
      <c r="DK43" t="e">
        <f>AND('2015'!AG176,"AAAAAEl//nI=")</f>
        <v>#VALUE!</v>
      </c>
      <c r="DL43" t="e">
        <f>AND('2015'!AH176,"AAAAAEl//nM=")</f>
        <v>#VALUE!</v>
      </c>
      <c r="DM43" t="e">
        <f>AND('2015'!AI176,"AAAAAEl//nQ=")</f>
        <v>#VALUE!</v>
      </c>
      <c r="DN43" t="e">
        <f>AND('2015'!AJ176,"AAAAAEl//nU=")</f>
        <v>#VALUE!</v>
      </c>
      <c r="DO43" t="e">
        <f>AND('2015'!AK176,"AAAAAEl//nY=")</f>
        <v>#VALUE!</v>
      </c>
      <c r="DP43" t="e">
        <f>AND('2015'!AL176,"AAAAAEl//nc=")</f>
        <v>#VALUE!</v>
      </c>
      <c r="DQ43" t="e">
        <f>AND('2015'!AM176,"AAAAAEl//ng=")</f>
        <v>#VALUE!</v>
      </c>
      <c r="DR43" t="e">
        <f>AND('2015'!AN176,"AAAAAEl//nk=")</f>
        <v>#VALUE!</v>
      </c>
      <c r="DS43" t="e">
        <f>AND('2015'!AO176,"AAAAAEl//no=")</f>
        <v>#VALUE!</v>
      </c>
      <c r="DT43" t="e">
        <f>AND('2015'!AP176,"AAAAAEl//ns=")</f>
        <v>#VALUE!</v>
      </c>
      <c r="DU43" t="e">
        <f>AND('2015'!AQ176,"AAAAAEl//nw=")</f>
        <v>#VALUE!</v>
      </c>
      <c r="DV43" t="e">
        <f>AND('2015'!AR176,"AAAAAEl//n0=")</f>
        <v>#VALUE!</v>
      </c>
      <c r="DW43" t="e">
        <f>AND('2015'!AS176,"AAAAAEl//n4=")</f>
        <v>#VALUE!</v>
      </c>
      <c r="DX43" t="e">
        <f>AND('2015'!AT176,"AAAAAEl//n8=")</f>
        <v>#VALUE!</v>
      </c>
      <c r="DY43" t="e">
        <f>AND('2015'!#REF!,"AAAAAEl//oA=")</f>
        <v>#REF!</v>
      </c>
      <c r="DZ43" t="e">
        <f>AND('2015'!AU176,"AAAAAEl//oE=")</f>
        <v>#VALUE!</v>
      </c>
      <c r="EA43" t="e">
        <f>AND('2015'!AV176,"AAAAAEl//oI=")</f>
        <v>#VALUE!</v>
      </c>
      <c r="EB43" t="e">
        <f>AND('2015'!AW176,"AAAAAEl//oM=")</f>
        <v>#VALUE!</v>
      </c>
      <c r="EC43" t="e">
        <f>AND('2015'!AX176,"AAAAAEl//oQ=")</f>
        <v>#VALUE!</v>
      </c>
      <c r="ED43" t="e">
        <f>AND('2015'!AY176,"AAAAAEl//oU=")</f>
        <v>#VALUE!</v>
      </c>
      <c r="EE43" t="e">
        <f>AND('2015'!AZ176,"AAAAAEl//oY=")</f>
        <v>#VALUE!</v>
      </c>
      <c r="EF43" t="e">
        <f>AND('2015'!BA176,"AAAAAEl//oc=")</f>
        <v>#VALUE!</v>
      </c>
      <c r="EG43" t="e">
        <f>AND('2015'!BB176,"AAAAAEl//og=")</f>
        <v>#VALUE!</v>
      </c>
      <c r="EH43" t="e">
        <f>AND('2015'!BC176,"AAAAAEl//ok=")</f>
        <v>#VALUE!</v>
      </c>
      <c r="EI43" t="e">
        <f>AND('2015'!BD176,"AAAAAEl//oo=")</f>
        <v>#VALUE!</v>
      </c>
      <c r="EJ43" t="e">
        <f>AND('2015'!BE176,"AAAAAEl//os=")</f>
        <v>#VALUE!</v>
      </c>
      <c r="EK43" t="e">
        <f>AND('2015'!BF176,"AAAAAEl//ow=")</f>
        <v>#VALUE!</v>
      </c>
      <c r="EL43" t="e">
        <f>AND('2015'!BG176,"AAAAAEl//o0=")</f>
        <v>#VALUE!</v>
      </c>
      <c r="EM43" t="e">
        <f>AND('2015'!BH176,"AAAAAEl//o4=")</f>
        <v>#VALUE!</v>
      </c>
      <c r="EN43" t="e">
        <f>AND('2015'!BI176,"AAAAAEl//o8=")</f>
        <v>#VALUE!</v>
      </c>
      <c r="EO43" t="e">
        <f>AND('2015'!#REF!,"AAAAAEl//pA=")</f>
        <v>#REF!</v>
      </c>
      <c r="EP43" t="e">
        <f>AND('2015'!BJ176,"AAAAAEl//pE=")</f>
        <v>#VALUE!</v>
      </c>
      <c r="EQ43" t="e">
        <f>AND('2015'!BK176,"AAAAAEl//pI=")</f>
        <v>#VALUE!</v>
      </c>
      <c r="ER43" t="e">
        <f>AND('2015'!BL176,"AAAAAEl//pM=")</f>
        <v>#VALUE!</v>
      </c>
      <c r="ES43" t="e">
        <f>AND('2015'!BM176,"AAAAAEl//pQ=")</f>
        <v>#VALUE!</v>
      </c>
      <c r="ET43" t="e">
        <f>AND('2015'!BY176,"AAAAAEl//pU=")</f>
        <v>#VALUE!</v>
      </c>
      <c r="EU43">
        <f>IF('2015'!177:177,"AAAAAEl//pY=",0)</f>
        <v>0</v>
      </c>
      <c r="EV43" t="e">
        <f>AND('2015'!A177,"AAAAAEl//pc=")</f>
        <v>#VALUE!</v>
      </c>
      <c r="EW43" t="e">
        <f>AND('2015'!B177,"AAAAAEl//pg=")</f>
        <v>#VALUE!</v>
      </c>
      <c r="EX43" t="e">
        <f>AND('2015'!C177,"AAAAAEl//pk=")</f>
        <v>#VALUE!</v>
      </c>
      <c r="EY43" t="e">
        <f>AND('2015'!D177,"AAAAAEl//po=")</f>
        <v>#VALUE!</v>
      </c>
      <c r="EZ43" t="e">
        <f>AND('2015'!E177,"AAAAAEl//ps=")</f>
        <v>#VALUE!</v>
      </c>
      <c r="FA43" t="e">
        <f>AND('2015'!F177,"AAAAAEl//pw=")</f>
        <v>#VALUE!</v>
      </c>
      <c r="FB43" t="e">
        <f>AND('2015'!G177,"AAAAAEl//p0=")</f>
        <v>#VALUE!</v>
      </c>
      <c r="FC43" t="e">
        <f>AND('2015'!H177,"AAAAAEl//p4=")</f>
        <v>#VALUE!</v>
      </c>
      <c r="FD43" t="e">
        <f>AND('2015'!I177,"AAAAAEl//p8=")</f>
        <v>#VALUE!</v>
      </c>
      <c r="FE43" t="e">
        <f>AND('2015'!J177,"AAAAAEl//qA=")</f>
        <v>#VALUE!</v>
      </c>
      <c r="FF43" t="e">
        <f>AND('2015'!K177,"AAAAAEl//qE=")</f>
        <v>#VALUE!</v>
      </c>
      <c r="FG43" t="e">
        <f>AND('2015'!L177,"AAAAAEl//qI=")</f>
        <v>#VALUE!</v>
      </c>
      <c r="FH43" t="e">
        <f>AND('2015'!M177,"AAAAAEl//qM=")</f>
        <v>#VALUE!</v>
      </c>
      <c r="FI43" t="e">
        <f>AND('2015'!N177,"AAAAAEl//qQ=")</f>
        <v>#VALUE!</v>
      </c>
      <c r="FJ43" t="e">
        <f>AND('2015'!O177,"AAAAAEl//qU=")</f>
        <v>#VALUE!</v>
      </c>
      <c r="FK43" t="e">
        <f>AND('2015'!P177,"AAAAAEl//qY=")</f>
        <v>#VALUE!</v>
      </c>
      <c r="FL43" t="e">
        <f>AND('2015'!Q177,"AAAAAEl//qc=")</f>
        <v>#VALUE!</v>
      </c>
      <c r="FM43" t="e">
        <f>AND('2015'!R177,"AAAAAEl//qg=")</f>
        <v>#VALUE!</v>
      </c>
      <c r="FN43" t="e">
        <f>AND('2015'!S177,"AAAAAEl//qk=")</f>
        <v>#VALUE!</v>
      </c>
      <c r="FO43" t="e">
        <f>AND('2015'!T177,"AAAAAEl//qo=")</f>
        <v>#VALUE!</v>
      </c>
      <c r="FP43" t="e">
        <f>AND('2015'!U177,"AAAAAEl//qs=")</f>
        <v>#VALUE!</v>
      </c>
      <c r="FQ43" t="e">
        <f>AND('2015'!V177,"AAAAAEl//qw=")</f>
        <v>#VALUE!</v>
      </c>
      <c r="FR43" t="e">
        <f>AND('2015'!W177,"AAAAAEl//q0=")</f>
        <v>#VALUE!</v>
      </c>
      <c r="FS43" t="e">
        <f>AND('2015'!X177,"AAAAAEl//q4=")</f>
        <v>#VALUE!</v>
      </c>
      <c r="FT43" t="e">
        <f>AND('2015'!Y177,"AAAAAEl//q8=")</f>
        <v>#VALUE!</v>
      </c>
      <c r="FU43" t="e">
        <f>AND('2015'!Z177,"AAAAAEl//rA=")</f>
        <v>#VALUE!</v>
      </c>
      <c r="FV43" t="e">
        <f>AND('2015'!AA177,"AAAAAEl//rE=")</f>
        <v>#VALUE!</v>
      </c>
      <c r="FW43" t="e">
        <f>AND('2015'!AB177,"AAAAAEl//rI=")</f>
        <v>#VALUE!</v>
      </c>
      <c r="FX43" t="e">
        <f>AND('2015'!AC177,"AAAAAEl//rM=")</f>
        <v>#VALUE!</v>
      </c>
      <c r="FY43" t="e">
        <f>AND('2015'!AD177,"AAAAAEl//rQ=")</f>
        <v>#VALUE!</v>
      </c>
      <c r="FZ43" t="e">
        <f>AND('2015'!AE177,"AAAAAEl//rU=")</f>
        <v>#VALUE!</v>
      </c>
      <c r="GA43" t="e">
        <f>AND('2015'!AF177,"AAAAAEl//rY=")</f>
        <v>#VALUE!</v>
      </c>
      <c r="GB43" t="e">
        <f>AND('2015'!AG177,"AAAAAEl//rc=")</f>
        <v>#VALUE!</v>
      </c>
      <c r="GC43" t="e">
        <f>AND('2015'!AH177,"AAAAAEl//rg=")</f>
        <v>#VALUE!</v>
      </c>
      <c r="GD43" t="e">
        <f>AND('2015'!AI177,"AAAAAEl//rk=")</f>
        <v>#VALUE!</v>
      </c>
      <c r="GE43" t="e">
        <f>AND('2015'!AJ177,"AAAAAEl//ro=")</f>
        <v>#VALUE!</v>
      </c>
      <c r="GF43" t="e">
        <f>AND('2015'!AK177,"AAAAAEl//rs=")</f>
        <v>#VALUE!</v>
      </c>
      <c r="GG43" t="e">
        <f>AND('2015'!AL177,"AAAAAEl//rw=")</f>
        <v>#VALUE!</v>
      </c>
      <c r="GH43" t="e">
        <f>AND('2015'!AM177,"AAAAAEl//r0=")</f>
        <v>#VALUE!</v>
      </c>
      <c r="GI43" t="e">
        <f>AND('2015'!AN177,"AAAAAEl//r4=")</f>
        <v>#VALUE!</v>
      </c>
      <c r="GJ43" t="e">
        <f>AND('2015'!AO177,"AAAAAEl//r8=")</f>
        <v>#VALUE!</v>
      </c>
      <c r="GK43" t="e">
        <f>AND('2015'!AP177,"AAAAAEl//sA=")</f>
        <v>#VALUE!</v>
      </c>
      <c r="GL43" t="e">
        <f>AND('2015'!AQ177,"AAAAAEl//sE=")</f>
        <v>#VALUE!</v>
      </c>
      <c r="GM43" t="e">
        <f>AND('2015'!AR177,"AAAAAEl//sI=")</f>
        <v>#VALUE!</v>
      </c>
      <c r="GN43" t="e">
        <f>AND('2015'!AS177,"AAAAAEl//sM=")</f>
        <v>#VALUE!</v>
      </c>
      <c r="GO43" t="e">
        <f>AND('2015'!AT177,"AAAAAEl//sQ=")</f>
        <v>#VALUE!</v>
      </c>
      <c r="GP43" t="e">
        <f>AND('2015'!#REF!,"AAAAAEl//sU=")</f>
        <v>#REF!</v>
      </c>
      <c r="GQ43" t="e">
        <f>AND('2015'!AU177,"AAAAAEl//sY=")</f>
        <v>#VALUE!</v>
      </c>
      <c r="GR43" t="e">
        <f>AND('2015'!AV177,"AAAAAEl//sc=")</f>
        <v>#VALUE!</v>
      </c>
      <c r="GS43" t="e">
        <f>AND('2015'!AW177,"AAAAAEl//sg=")</f>
        <v>#VALUE!</v>
      </c>
      <c r="GT43" t="e">
        <f>AND('2015'!AX177,"AAAAAEl//sk=")</f>
        <v>#VALUE!</v>
      </c>
      <c r="GU43" t="e">
        <f>AND('2015'!AY177,"AAAAAEl//so=")</f>
        <v>#VALUE!</v>
      </c>
      <c r="GV43" t="e">
        <f>AND('2015'!AZ177,"AAAAAEl//ss=")</f>
        <v>#VALUE!</v>
      </c>
      <c r="GW43" t="e">
        <f>AND('2015'!BA177,"AAAAAEl//sw=")</f>
        <v>#VALUE!</v>
      </c>
      <c r="GX43" t="e">
        <f>AND('2015'!BB177,"AAAAAEl//s0=")</f>
        <v>#VALUE!</v>
      </c>
      <c r="GY43" t="e">
        <f>AND('2015'!BC177,"AAAAAEl//s4=")</f>
        <v>#VALUE!</v>
      </c>
      <c r="GZ43" t="e">
        <f>AND('2015'!BD177,"AAAAAEl//s8=")</f>
        <v>#VALUE!</v>
      </c>
      <c r="HA43" t="e">
        <f>AND('2015'!BE177,"AAAAAEl//tA=")</f>
        <v>#VALUE!</v>
      </c>
      <c r="HB43" t="e">
        <f>AND('2015'!BF177,"AAAAAEl//tE=")</f>
        <v>#VALUE!</v>
      </c>
      <c r="HC43" t="e">
        <f>AND('2015'!BG177,"AAAAAEl//tI=")</f>
        <v>#VALUE!</v>
      </c>
      <c r="HD43" t="e">
        <f>AND('2015'!BH177,"AAAAAEl//tM=")</f>
        <v>#VALUE!</v>
      </c>
      <c r="HE43" t="e">
        <f>AND('2015'!BI177,"AAAAAEl//tQ=")</f>
        <v>#VALUE!</v>
      </c>
      <c r="HF43" t="e">
        <f>AND('2015'!#REF!,"AAAAAEl//tU=")</f>
        <v>#REF!</v>
      </c>
      <c r="HG43" t="e">
        <f>AND('2015'!BJ177,"AAAAAEl//tY=")</f>
        <v>#VALUE!</v>
      </c>
      <c r="HH43" t="e">
        <f>AND('2015'!BK177,"AAAAAEl//tc=")</f>
        <v>#VALUE!</v>
      </c>
      <c r="HI43" t="e">
        <f>AND('2015'!BL177,"AAAAAEl//tg=")</f>
        <v>#VALUE!</v>
      </c>
      <c r="HJ43" t="e">
        <f>AND('2015'!BM177,"AAAAAEl//tk=")</f>
        <v>#VALUE!</v>
      </c>
      <c r="HK43" t="e">
        <f>AND('2015'!BY177,"AAAAAEl//to=")</f>
        <v>#VALUE!</v>
      </c>
      <c r="HL43">
        <f>IF('2015'!178:178,"AAAAAEl//ts=",0)</f>
        <v>0</v>
      </c>
      <c r="HM43" t="e">
        <f>AND('2015'!A178,"AAAAAEl//tw=")</f>
        <v>#VALUE!</v>
      </c>
      <c r="HN43" t="e">
        <f>AND('2015'!B178,"AAAAAEl//t0=")</f>
        <v>#VALUE!</v>
      </c>
      <c r="HO43" t="e">
        <f>AND('2015'!C178,"AAAAAEl//t4=")</f>
        <v>#VALUE!</v>
      </c>
      <c r="HP43" t="e">
        <f>AND('2015'!D178,"AAAAAEl//t8=")</f>
        <v>#VALUE!</v>
      </c>
      <c r="HQ43" t="e">
        <f>AND('2015'!E178,"AAAAAEl//uA=")</f>
        <v>#VALUE!</v>
      </c>
      <c r="HR43" t="e">
        <f>AND('2015'!F178,"AAAAAEl//uE=")</f>
        <v>#VALUE!</v>
      </c>
      <c r="HS43" t="e">
        <f>AND('2015'!G178,"AAAAAEl//uI=")</f>
        <v>#VALUE!</v>
      </c>
      <c r="HT43" t="e">
        <f>AND('2015'!H178,"AAAAAEl//uM=")</f>
        <v>#VALUE!</v>
      </c>
      <c r="HU43" t="e">
        <f>AND('2015'!I178,"AAAAAEl//uQ=")</f>
        <v>#VALUE!</v>
      </c>
      <c r="HV43" t="e">
        <f>AND('2015'!J178,"AAAAAEl//uU=")</f>
        <v>#VALUE!</v>
      </c>
      <c r="HW43" t="e">
        <f>AND('2015'!K178,"AAAAAEl//uY=")</f>
        <v>#VALUE!</v>
      </c>
      <c r="HX43" t="e">
        <f>AND('2015'!L178,"AAAAAEl//uc=")</f>
        <v>#VALUE!</v>
      </c>
      <c r="HY43" t="e">
        <f>AND('2015'!M178,"AAAAAEl//ug=")</f>
        <v>#VALUE!</v>
      </c>
      <c r="HZ43" t="e">
        <f>AND('2015'!N178,"AAAAAEl//uk=")</f>
        <v>#VALUE!</v>
      </c>
      <c r="IA43" t="e">
        <f>AND('2015'!O178,"AAAAAEl//uo=")</f>
        <v>#VALUE!</v>
      </c>
      <c r="IB43" t="e">
        <f>AND('2015'!P178,"AAAAAEl//us=")</f>
        <v>#VALUE!</v>
      </c>
      <c r="IC43" t="e">
        <f>AND('2015'!Q178,"AAAAAEl//uw=")</f>
        <v>#VALUE!</v>
      </c>
      <c r="ID43" t="e">
        <f>AND('2015'!R178,"AAAAAEl//u0=")</f>
        <v>#VALUE!</v>
      </c>
      <c r="IE43" t="e">
        <f>AND('2015'!S178,"AAAAAEl//u4=")</f>
        <v>#VALUE!</v>
      </c>
      <c r="IF43" t="e">
        <f>AND('2015'!T178,"AAAAAEl//u8=")</f>
        <v>#VALUE!</v>
      </c>
      <c r="IG43" t="e">
        <f>AND('2015'!U178,"AAAAAEl//vA=")</f>
        <v>#VALUE!</v>
      </c>
      <c r="IH43" t="e">
        <f>AND('2015'!V178,"AAAAAEl//vE=")</f>
        <v>#VALUE!</v>
      </c>
      <c r="II43" t="e">
        <f>AND('2015'!W178,"AAAAAEl//vI=")</f>
        <v>#VALUE!</v>
      </c>
      <c r="IJ43" t="e">
        <f>AND('2015'!X178,"AAAAAEl//vM=")</f>
        <v>#VALUE!</v>
      </c>
      <c r="IK43" t="e">
        <f>AND('2015'!Y178,"AAAAAEl//vQ=")</f>
        <v>#VALUE!</v>
      </c>
      <c r="IL43" t="e">
        <f>AND('2015'!Z178,"AAAAAEl//vU=")</f>
        <v>#VALUE!</v>
      </c>
      <c r="IM43" t="e">
        <f>AND('2015'!AA178,"AAAAAEl//vY=")</f>
        <v>#VALUE!</v>
      </c>
      <c r="IN43" t="e">
        <f>AND('2015'!AB178,"AAAAAEl//vc=")</f>
        <v>#VALUE!</v>
      </c>
      <c r="IO43" t="e">
        <f>AND('2015'!AC178,"AAAAAEl//vg=")</f>
        <v>#VALUE!</v>
      </c>
      <c r="IP43" t="e">
        <f>AND('2015'!AD178,"AAAAAEl//vk=")</f>
        <v>#VALUE!</v>
      </c>
      <c r="IQ43" t="e">
        <f>AND('2015'!AE178,"AAAAAEl//vo=")</f>
        <v>#VALUE!</v>
      </c>
      <c r="IR43" t="e">
        <f>AND('2015'!AF178,"AAAAAEl//vs=")</f>
        <v>#VALUE!</v>
      </c>
      <c r="IS43" t="e">
        <f>AND('2015'!AG178,"AAAAAEl//vw=")</f>
        <v>#VALUE!</v>
      </c>
      <c r="IT43" t="e">
        <f>AND('2015'!AH178,"AAAAAEl//v0=")</f>
        <v>#VALUE!</v>
      </c>
      <c r="IU43" t="e">
        <f>AND('2015'!AI178,"AAAAAEl//v4=")</f>
        <v>#VALUE!</v>
      </c>
      <c r="IV43" t="e">
        <f>AND('2015'!AJ178,"AAAAAEl//v8=")</f>
        <v>#VALUE!</v>
      </c>
    </row>
    <row r="44" spans="1:256" x14ac:dyDescent="0.25">
      <c r="A44" t="e">
        <f>AND('2015'!AK178,"AAAAAHYd/wA=")</f>
        <v>#VALUE!</v>
      </c>
      <c r="B44" t="e">
        <f>AND('2015'!AL178,"AAAAAHYd/wE=")</f>
        <v>#VALUE!</v>
      </c>
      <c r="C44" t="e">
        <f>AND('2015'!AM178,"AAAAAHYd/wI=")</f>
        <v>#VALUE!</v>
      </c>
      <c r="D44" t="e">
        <f>AND('2015'!AN178,"AAAAAHYd/wM=")</f>
        <v>#VALUE!</v>
      </c>
      <c r="E44" t="e">
        <f>AND('2015'!AO178,"AAAAAHYd/wQ=")</f>
        <v>#VALUE!</v>
      </c>
      <c r="F44" t="e">
        <f>AND('2015'!AP178,"AAAAAHYd/wU=")</f>
        <v>#VALUE!</v>
      </c>
      <c r="G44" t="e">
        <f>AND('2015'!AQ178,"AAAAAHYd/wY=")</f>
        <v>#VALUE!</v>
      </c>
      <c r="H44" t="e">
        <f>AND('2015'!AR178,"AAAAAHYd/wc=")</f>
        <v>#VALUE!</v>
      </c>
      <c r="I44" t="e">
        <f>AND('2015'!AS178,"AAAAAHYd/wg=")</f>
        <v>#VALUE!</v>
      </c>
      <c r="J44" t="e">
        <f>AND('2015'!AT178,"AAAAAHYd/wk=")</f>
        <v>#VALUE!</v>
      </c>
      <c r="K44" t="e">
        <f>AND('2015'!#REF!,"AAAAAHYd/wo=")</f>
        <v>#REF!</v>
      </c>
      <c r="L44" t="e">
        <f>AND('2015'!AU178,"AAAAAHYd/ws=")</f>
        <v>#VALUE!</v>
      </c>
      <c r="M44" t="e">
        <f>AND('2015'!AV178,"AAAAAHYd/ww=")</f>
        <v>#VALUE!</v>
      </c>
      <c r="N44" t="e">
        <f>AND('2015'!AW178,"AAAAAHYd/w0=")</f>
        <v>#VALUE!</v>
      </c>
      <c r="O44" t="e">
        <f>AND('2015'!AX178,"AAAAAHYd/w4=")</f>
        <v>#VALUE!</v>
      </c>
      <c r="P44" t="e">
        <f>AND('2015'!AY178,"AAAAAHYd/w8=")</f>
        <v>#VALUE!</v>
      </c>
      <c r="Q44" t="e">
        <f>AND('2015'!AZ178,"AAAAAHYd/xA=")</f>
        <v>#VALUE!</v>
      </c>
      <c r="R44" t="e">
        <f>AND('2015'!BA178,"AAAAAHYd/xE=")</f>
        <v>#VALUE!</v>
      </c>
      <c r="S44" t="e">
        <f>AND('2015'!BB178,"AAAAAHYd/xI=")</f>
        <v>#VALUE!</v>
      </c>
      <c r="T44" t="e">
        <f>AND('2015'!BC178,"AAAAAHYd/xM=")</f>
        <v>#VALUE!</v>
      </c>
      <c r="U44" t="e">
        <f>AND('2015'!BD178,"AAAAAHYd/xQ=")</f>
        <v>#VALUE!</v>
      </c>
      <c r="V44" t="e">
        <f>AND('2015'!BE178,"AAAAAHYd/xU=")</f>
        <v>#VALUE!</v>
      </c>
      <c r="W44" t="e">
        <f>AND('2015'!BF178,"AAAAAHYd/xY=")</f>
        <v>#VALUE!</v>
      </c>
      <c r="X44" t="e">
        <f>AND('2015'!BG178,"AAAAAHYd/xc=")</f>
        <v>#VALUE!</v>
      </c>
      <c r="Y44" t="e">
        <f>AND('2015'!BH178,"AAAAAHYd/xg=")</f>
        <v>#VALUE!</v>
      </c>
      <c r="Z44" t="e">
        <f>AND('2015'!BI178,"AAAAAHYd/xk=")</f>
        <v>#VALUE!</v>
      </c>
      <c r="AA44" t="e">
        <f>AND('2015'!#REF!,"AAAAAHYd/xo=")</f>
        <v>#REF!</v>
      </c>
      <c r="AB44" t="e">
        <f>AND('2015'!BJ178,"AAAAAHYd/xs=")</f>
        <v>#VALUE!</v>
      </c>
      <c r="AC44" t="e">
        <f>AND('2015'!BK178,"AAAAAHYd/xw=")</f>
        <v>#VALUE!</v>
      </c>
      <c r="AD44" t="e">
        <f>AND('2015'!BL178,"AAAAAHYd/x0=")</f>
        <v>#VALUE!</v>
      </c>
      <c r="AE44" t="e">
        <f>AND('2015'!BM178,"AAAAAHYd/x4=")</f>
        <v>#VALUE!</v>
      </c>
      <c r="AF44" t="e">
        <f>AND('2015'!BY178,"AAAAAHYd/x8=")</f>
        <v>#VALUE!</v>
      </c>
      <c r="AG44">
        <f>IF('2015'!179:179,"AAAAAHYd/yA=",0)</f>
        <v>0</v>
      </c>
      <c r="AH44" t="e">
        <f>AND('2015'!A179,"AAAAAHYd/yE=")</f>
        <v>#VALUE!</v>
      </c>
      <c r="AI44" t="e">
        <f>AND('2015'!B179,"AAAAAHYd/yI=")</f>
        <v>#VALUE!</v>
      </c>
      <c r="AJ44" t="e">
        <f>AND('2015'!C179,"AAAAAHYd/yM=")</f>
        <v>#VALUE!</v>
      </c>
      <c r="AK44" t="e">
        <f>AND('2015'!D179,"AAAAAHYd/yQ=")</f>
        <v>#VALUE!</v>
      </c>
      <c r="AL44" t="e">
        <f>AND('2015'!E179,"AAAAAHYd/yU=")</f>
        <v>#VALUE!</v>
      </c>
      <c r="AM44" t="e">
        <f>AND('2015'!F179,"AAAAAHYd/yY=")</f>
        <v>#VALUE!</v>
      </c>
      <c r="AN44" t="e">
        <f>AND('2015'!G179,"AAAAAHYd/yc=")</f>
        <v>#VALUE!</v>
      </c>
      <c r="AO44" t="e">
        <f>AND('2015'!H179,"AAAAAHYd/yg=")</f>
        <v>#VALUE!</v>
      </c>
      <c r="AP44" t="e">
        <f>AND('2015'!I179,"AAAAAHYd/yk=")</f>
        <v>#VALUE!</v>
      </c>
      <c r="AQ44" t="e">
        <f>AND('2015'!J179,"AAAAAHYd/yo=")</f>
        <v>#VALUE!</v>
      </c>
      <c r="AR44" t="e">
        <f>AND('2015'!K179,"AAAAAHYd/ys=")</f>
        <v>#VALUE!</v>
      </c>
      <c r="AS44" t="e">
        <f>AND('2015'!L179,"AAAAAHYd/yw=")</f>
        <v>#VALUE!</v>
      </c>
      <c r="AT44" t="e">
        <f>AND('2015'!M179,"AAAAAHYd/y0=")</f>
        <v>#VALUE!</v>
      </c>
      <c r="AU44" t="e">
        <f>AND('2015'!N179,"AAAAAHYd/y4=")</f>
        <v>#VALUE!</v>
      </c>
      <c r="AV44" t="e">
        <f>AND('2015'!O179,"AAAAAHYd/y8=")</f>
        <v>#VALUE!</v>
      </c>
      <c r="AW44" t="e">
        <f>AND('2015'!P179,"AAAAAHYd/zA=")</f>
        <v>#VALUE!</v>
      </c>
      <c r="AX44" t="e">
        <f>AND('2015'!Q179,"AAAAAHYd/zE=")</f>
        <v>#VALUE!</v>
      </c>
      <c r="AY44" t="e">
        <f>AND('2015'!R179,"AAAAAHYd/zI=")</f>
        <v>#VALUE!</v>
      </c>
      <c r="AZ44" t="e">
        <f>AND('2015'!S179,"AAAAAHYd/zM=")</f>
        <v>#VALUE!</v>
      </c>
      <c r="BA44" t="e">
        <f>AND('2015'!T179,"AAAAAHYd/zQ=")</f>
        <v>#VALUE!</v>
      </c>
      <c r="BB44" t="e">
        <f>AND('2015'!U179,"AAAAAHYd/zU=")</f>
        <v>#VALUE!</v>
      </c>
      <c r="BC44" t="e">
        <f>AND('2015'!V179,"AAAAAHYd/zY=")</f>
        <v>#VALUE!</v>
      </c>
      <c r="BD44" t="e">
        <f>AND('2015'!W179,"AAAAAHYd/zc=")</f>
        <v>#VALUE!</v>
      </c>
      <c r="BE44" t="e">
        <f>AND('2015'!X179,"AAAAAHYd/zg=")</f>
        <v>#VALUE!</v>
      </c>
      <c r="BF44" t="e">
        <f>AND('2015'!Y179,"AAAAAHYd/zk=")</f>
        <v>#VALUE!</v>
      </c>
      <c r="BG44" t="e">
        <f>AND('2015'!Z179,"AAAAAHYd/zo=")</f>
        <v>#VALUE!</v>
      </c>
      <c r="BH44" t="e">
        <f>AND('2015'!AA179,"AAAAAHYd/zs=")</f>
        <v>#VALUE!</v>
      </c>
      <c r="BI44" t="e">
        <f>AND('2015'!AB179,"AAAAAHYd/zw=")</f>
        <v>#VALUE!</v>
      </c>
      <c r="BJ44" t="e">
        <f>AND('2015'!AC179,"AAAAAHYd/z0=")</f>
        <v>#VALUE!</v>
      </c>
      <c r="BK44" t="e">
        <f>AND('2015'!AD179,"AAAAAHYd/z4=")</f>
        <v>#VALUE!</v>
      </c>
      <c r="BL44" t="e">
        <f>AND('2015'!AE179,"AAAAAHYd/z8=")</f>
        <v>#VALUE!</v>
      </c>
      <c r="BM44" t="e">
        <f>AND('2015'!AF179,"AAAAAHYd/0A=")</f>
        <v>#VALUE!</v>
      </c>
      <c r="BN44" t="e">
        <f>AND('2015'!AG179,"AAAAAHYd/0E=")</f>
        <v>#VALUE!</v>
      </c>
      <c r="BO44" t="e">
        <f>AND('2015'!AH179,"AAAAAHYd/0I=")</f>
        <v>#VALUE!</v>
      </c>
      <c r="BP44" t="e">
        <f>AND('2015'!AI179,"AAAAAHYd/0M=")</f>
        <v>#VALUE!</v>
      </c>
      <c r="BQ44" t="e">
        <f>AND('2015'!AJ179,"AAAAAHYd/0Q=")</f>
        <v>#VALUE!</v>
      </c>
      <c r="BR44" t="e">
        <f>AND('2015'!AK179,"AAAAAHYd/0U=")</f>
        <v>#VALUE!</v>
      </c>
      <c r="BS44" t="e">
        <f>AND('2015'!AL179,"AAAAAHYd/0Y=")</f>
        <v>#VALUE!</v>
      </c>
      <c r="BT44" t="e">
        <f>AND('2015'!AM179,"AAAAAHYd/0c=")</f>
        <v>#VALUE!</v>
      </c>
      <c r="BU44" t="e">
        <f>AND('2015'!AN179,"AAAAAHYd/0g=")</f>
        <v>#VALUE!</v>
      </c>
      <c r="BV44" t="e">
        <f>AND('2015'!AO179,"AAAAAHYd/0k=")</f>
        <v>#VALUE!</v>
      </c>
      <c r="BW44" t="e">
        <f>AND('2015'!AP179,"AAAAAHYd/0o=")</f>
        <v>#VALUE!</v>
      </c>
      <c r="BX44" t="e">
        <f>AND('2015'!AQ179,"AAAAAHYd/0s=")</f>
        <v>#VALUE!</v>
      </c>
      <c r="BY44" t="e">
        <f>AND('2015'!AR179,"AAAAAHYd/0w=")</f>
        <v>#VALUE!</v>
      </c>
      <c r="BZ44" t="e">
        <f>AND('2015'!AS179,"AAAAAHYd/00=")</f>
        <v>#VALUE!</v>
      </c>
      <c r="CA44" t="e">
        <f>AND('2015'!AT179,"AAAAAHYd/04=")</f>
        <v>#VALUE!</v>
      </c>
      <c r="CB44" t="e">
        <f>AND('2015'!#REF!,"AAAAAHYd/08=")</f>
        <v>#REF!</v>
      </c>
      <c r="CC44" t="e">
        <f>AND('2015'!AU179,"AAAAAHYd/1A=")</f>
        <v>#VALUE!</v>
      </c>
      <c r="CD44" t="e">
        <f>AND('2015'!AV179,"AAAAAHYd/1E=")</f>
        <v>#VALUE!</v>
      </c>
      <c r="CE44" t="e">
        <f>AND('2015'!AW179,"AAAAAHYd/1I=")</f>
        <v>#VALUE!</v>
      </c>
      <c r="CF44" t="e">
        <f>AND('2015'!AX179,"AAAAAHYd/1M=")</f>
        <v>#VALUE!</v>
      </c>
      <c r="CG44" t="e">
        <f>AND('2015'!AY179,"AAAAAHYd/1Q=")</f>
        <v>#VALUE!</v>
      </c>
      <c r="CH44" t="e">
        <f>AND('2015'!AZ179,"AAAAAHYd/1U=")</f>
        <v>#VALUE!</v>
      </c>
      <c r="CI44" t="e">
        <f>AND('2015'!BA179,"AAAAAHYd/1Y=")</f>
        <v>#VALUE!</v>
      </c>
      <c r="CJ44" t="e">
        <f>AND('2015'!BB179,"AAAAAHYd/1c=")</f>
        <v>#VALUE!</v>
      </c>
      <c r="CK44" t="e">
        <f>AND('2015'!BC179,"AAAAAHYd/1g=")</f>
        <v>#VALUE!</v>
      </c>
      <c r="CL44" t="e">
        <f>AND('2015'!BD179,"AAAAAHYd/1k=")</f>
        <v>#VALUE!</v>
      </c>
      <c r="CM44" t="e">
        <f>AND('2015'!BE179,"AAAAAHYd/1o=")</f>
        <v>#VALUE!</v>
      </c>
      <c r="CN44" t="e">
        <f>AND('2015'!BF179,"AAAAAHYd/1s=")</f>
        <v>#VALUE!</v>
      </c>
      <c r="CO44" t="e">
        <f>AND('2015'!BG179,"AAAAAHYd/1w=")</f>
        <v>#VALUE!</v>
      </c>
      <c r="CP44" t="e">
        <f>AND('2015'!BH179,"AAAAAHYd/10=")</f>
        <v>#VALUE!</v>
      </c>
      <c r="CQ44" t="e">
        <f>AND('2015'!BI179,"AAAAAHYd/14=")</f>
        <v>#VALUE!</v>
      </c>
      <c r="CR44" t="e">
        <f>AND('2015'!#REF!,"AAAAAHYd/18=")</f>
        <v>#REF!</v>
      </c>
      <c r="CS44" t="e">
        <f>AND('2015'!BJ179,"AAAAAHYd/2A=")</f>
        <v>#VALUE!</v>
      </c>
      <c r="CT44" t="e">
        <f>AND('2015'!BK179,"AAAAAHYd/2E=")</f>
        <v>#VALUE!</v>
      </c>
      <c r="CU44" t="e">
        <f>AND('2015'!BL179,"AAAAAHYd/2I=")</f>
        <v>#VALUE!</v>
      </c>
      <c r="CV44" t="e">
        <f>AND('2015'!BM179,"AAAAAHYd/2M=")</f>
        <v>#VALUE!</v>
      </c>
      <c r="CW44" t="e">
        <f>AND('2015'!BY179,"AAAAAHYd/2Q=")</f>
        <v>#VALUE!</v>
      </c>
      <c r="CX44">
        <f>IF('2015'!180:180,"AAAAAHYd/2U=",0)</f>
        <v>0</v>
      </c>
      <c r="CY44" t="e">
        <f>AND('2015'!A180,"AAAAAHYd/2Y=")</f>
        <v>#VALUE!</v>
      </c>
      <c r="CZ44" t="e">
        <f>AND('2015'!B180,"AAAAAHYd/2c=")</f>
        <v>#VALUE!</v>
      </c>
      <c r="DA44" t="e">
        <f>AND('2015'!C180,"AAAAAHYd/2g=")</f>
        <v>#VALUE!</v>
      </c>
      <c r="DB44" t="e">
        <f>AND('2015'!D180,"AAAAAHYd/2k=")</f>
        <v>#VALUE!</v>
      </c>
      <c r="DC44" t="e">
        <f>AND('2015'!E180,"AAAAAHYd/2o=")</f>
        <v>#VALUE!</v>
      </c>
      <c r="DD44" t="e">
        <f>AND('2015'!F180,"AAAAAHYd/2s=")</f>
        <v>#VALUE!</v>
      </c>
      <c r="DE44" t="e">
        <f>AND('2015'!G180,"AAAAAHYd/2w=")</f>
        <v>#VALUE!</v>
      </c>
      <c r="DF44" t="e">
        <f>AND('2015'!H180,"AAAAAHYd/20=")</f>
        <v>#VALUE!</v>
      </c>
      <c r="DG44" t="e">
        <f>AND('2015'!I180,"AAAAAHYd/24=")</f>
        <v>#VALUE!</v>
      </c>
      <c r="DH44" t="e">
        <f>AND('2015'!J180,"AAAAAHYd/28=")</f>
        <v>#VALUE!</v>
      </c>
      <c r="DI44" t="e">
        <f>AND('2015'!K180,"AAAAAHYd/3A=")</f>
        <v>#VALUE!</v>
      </c>
      <c r="DJ44" t="e">
        <f>AND('2015'!L180,"AAAAAHYd/3E=")</f>
        <v>#VALUE!</v>
      </c>
      <c r="DK44" t="e">
        <f>AND('2015'!M180,"AAAAAHYd/3I=")</f>
        <v>#VALUE!</v>
      </c>
      <c r="DL44" t="e">
        <f>AND('2015'!N180,"AAAAAHYd/3M=")</f>
        <v>#VALUE!</v>
      </c>
      <c r="DM44" t="e">
        <f>AND('2015'!O180,"AAAAAHYd/3Q=")</f>
        <v>#VALUE!</v>
      </c>
      <c r="DN44" t="e">
        <f>AND('2015'!P180,"AAAAAHYd/3U=")</f>
        <v>#VALUE!</v>
      </c>
      <c r="DO44" t="e">
        <f>AND('2015'!Q180,"AAAAAHYd/3Y=")</f>
        <v>#VALUE!</v>
      </c>
      <c r="DP44" t="e">
        <f>AND('2015'!R180,"AAAAAHYd/3c=")</f>
        <v>#VALUE!</v>
      </c>
      <c r="DQ44" t="e">
        <f>AND('2015'!S180,"AAAAAHYd/3g=")</f>
        <v>#VALUE!</v>
      </c>
      <c r="DR44" t="e">
        <f>AND('2015'!T180,"AAAAAHYd/3k=")</f>
        <v>#VALUE!</v>
      </c>
      <c r="DS44" t="e">
        <f>AND('2015'!U180,"AAAAAHYd/3o=")</f>
        <v>#VALUE!</v>
      </c>
      <c r="DT44" t="e">
        <f>AND('2015'!V180,"AAAAAHYd/3s=")</f>
        <v>#VALUE!</v>
      </c>
      <c r="DU44" t="e">
        <f>AND('2015'!W180,"AAAAAHYd/3w=")</f>
        <v>#VALUE!</v>
      </c>
      <c r="DV44" t="e">
        <f>AND('2015'!X180,"AAAAAHYd/30=")</f>
        <v>#VALUE!</v>
      </c>
      <c r="DW44" t="e">
        <f>AND('2015'!Y180,"AAAAAHYd/34=")</f>
        <v>#VALUE!</v>
      </c>
      <c r="DX44" t="e">
        <f>AND('2015'!Z180,"AAAAAHYd/38=")</f>
        <v>#VALUE!</v>
      </c>
      <c r="DY44" t="e">
        <f>AND('2015'!AA180,"AAAAAHYd/4A=")</f>
        <v>#VALUE!</v>
      </c>
      <c r="DZ44" t="e">
        <f>AND('2015'!AB180,"AAAAAHYd/4E=")</f>
        <v>#VALUE!</v>
      </c>
      <c r="EA44" t="e">
        <f>AND('2015'!AC180,"AAAAAHYd/4I=")</f>
        <v>#VALUE!</v>
      </c>
      <c r="EB44" t="e">
        <f>AND('2015'!AD180,"AAAAAHYd/4M=")</f>
        <v>#VALUE!</v>
      </c>
      <c r="EC44" t="e">
        <f>AND('2015'!AE180,"AAAAAHYd/4Q=")</f>
        <v>#VALUE!</v>
      </c>
      <c r="ED44" t="e">
        <f>AND('2015'!AF180,"AAAAAHYd/4U=")</f>
        <v>#VALUE!</v>
      </c>
      <c r="EE44" t="e">
        <f>AND('2015'!AG180,"AAAAAHYd/4Y=")</f>
        <v>#VALUE!</v>
      </c>
      <c r="EF44" t="e">
        <f>AND('2015'!AH180,"AAAAAHYd/4c=")</f>
        <v>#VALUE!</v>
      </c>
      <c r="EG44" t="e">
        <f>AND('2015'!AI180,"AAAAAHYd/4g=")</f>
        <v>#VALUE!</v>
      </c>
      <c r="EH44" t="e">
        <f>AND('2015'!AJ180,"AAAAAHYd/4k=")</f>
        <v>#VALUE!</v>
      </c>
      <c r="EI44" t="e">
        <f>AND('2015'!AK180,"AAAAAHYd/4o=")</f>
        <v>#VALUE!</v>
      </c>
      <c r="EJ44" t="e">
        <f>AND('2015'!AL180,"AAAAAHYd/4s=")</f>
        <v>#VALUE!</v>
      </c>
      <c r="EK44" t="e">
        <f>AND('2015'!AM180,"AAAAAHYd/4w=")</f>
        <v>#VALUE!</v>
      </c>
      <c r="EL44" t="e">
        <f>AND('2015'!AN180,"AAAAAHYd/40=")</f>
        <v>#VALUE!</v>
      </c>
      <c r="EM44" t="e">
        <f>AND('2015'!AO180,"AAAAAHYd/44=")</f>
        <v>#VALUE!</v>
      </c>
      <c r="EN44" t="e">
        <f>AND('2015'!AP180,"AAAAAHYd/48=")</f>
        <v>#VALUE!</v>
      </c>
      <c r="EO44" t="e">
        <f>AND('2015'!AQ180,"AAAAAHYd/5A=")</f>
        <v>#VALUE!</v>
      </c>
      <c r="EP44" t="e">
        <f>AND('2015'!AR180,"AAAAAHYd/5E=")</f>
        <v>#VALUE!</v>
      </c>
      <c r="EQ44" t="e">
        <f>AND('2015'!AS180,"AAAAAHYd/5I=")</f>
        <v>#VALUE!</v>
      </c>
      <c r="ER44" t="e">
        <f>AND('2015'!AT180,"AAAAAHYd/5M=")</f>
        <v>#VALUE!</v>
      </c>
      <c r="ES44" t="e">
        <f>AND('2015'!#REF!,"AAAAAHYd/5Q=")</f>
        <v>#REF!</v>
      </c>
      <c r="ET44" t="e">
        <f>AND('2015'!AU180,"AAAAAHYd/5U=")</f>
        <v>#VALUE!</v>
      </c>
      <c r="EU44" t="e">
        <f>AND('2015'!AV180,"AAAAAHYd/5Y=")</f>
        <v>#VALUE!</v>
      </c>
      <c r="EV44" t="e">
        <f>AND('2015'!AW180,"AAAAAHYd/5c=")</f>
        <v>#VALUE!</v>
      </c>
      <c r="EW44" t="e">
        <f>AND('2015'!AX180,"AAAAAHYd/5g=")</f>
        <v>#VALUE!</v>
      </c>
      <c r="EX44" t="e">
        <f>AND('2015'!AY180,"AAAAAHYd/5k=")</f>
        <v>#VALUE!</v>
      </c>
      <c r="EY44" t="e">
        <f>AND('2015'!AZ180,"AAAAAHYd/5o=")</f>
        <v>#VALUE!</v>
      </c>
      <c r="EZ44" t="e">
        <f>AND('2015'!BA180,"AAAAAHYd/5s=")</f>
        <v>#VALUE!</v>
      </c>
      <c r="FA44" t="e">
        <f>AND('2015'!BB180,"AAAAAHYd/5w=")</f>
        <v>#VALUE!</v>
      </c>
      <c r="FB44" t="e">
        <f>AND('2015'!BC180,"AAAAAHYd/50=")</f>
        <v>#VALUE!</v>
      </c>
      <c r="FC44" t="e">
        <f>AND('2015'!BD180,"AAAAAHYd/54=")</f>
        <v>#VALUE!</v>
      </c>
      <c r="FD44" t="e">
        <f>AND('2015'!BE180,"AAAAAHYd/58=")</f>
        <v>#VALUE!</v>
      </c>
      <c r="FE44" t="e">
        <f>AND('2015'!BF180,"AAAAAHYd/6A=")</f>
        <v>#VALUE!</v>
      </c>
      <c r="FF44" t="e">
        <f>AND('2015'!BG180,"AAAAAHYd/6E=")</f>
        <v>#VALUE!</v>
      </c>
      <c r="FG44" t="e">
        <f>AND('2015'!BH180,"AAAAAHYd/6I=")</f>
        <v>#VALUE!</v>
      </c>
      <c r="FH44" t="e">
        <f>AND('2015'!BI180,"AAAAAHYd/6M=")</f>
        <v>#VALUE!</v>
      </c>
      <c r="FI44" t="e">
        <f>AND('2015'!#REF!,"AAAAAHYd/6Q=")</f>
        <v>#REF!</v>
      </c>
      <c r="FJ44" t="e">
        <f>AND('2015'!BJ180,"AAAAAHYd/6U=")</f>
        <v>#VALUE!</v>
      </c>
      <c r="FK44" t="e">
        <f>AND('2015'!BK180,"AAAAAHYd/6Y=")</f>
        <v>#VALUE!</v>
      </c>
      <c r="FL44" t="e">
        <f>AND('2015'!BL180,"AAAAAHYd/6c=")</f>
        <v>#VALUE!</v>
      </c>
      <c r="FM44" t="e">
        <f>AND('2015'!BM180,"AAAAAHYd/6g=")</f>
        <v>#VALUE!</v>
      </c>
      <c r="FN44" t="e">
        <f>AND('2015'!BY180,"AAAAAHYd/6k=")</f>
        <v>#VALUE!</v>
      </c>
      <c r="FO44">
        <f>IF('2015'!181:181,"AAAAAHYd/6o=",0)</f>
        <v>0</v>
      </c>
      <c r="FP44" t="e">
        <f>AND('2015'!A181,"AAAAAHYd/6s=")</f>
        <v>#VALUE!</v>
      </c>
      <c r="FQ44" t="e">
        <f>AND('2015'!B181,"AAAAAHYd/6w=")</f>
        <v>#VALUE!</v>
      </c>
      <c r="FR44" t="e">
        <f>AND('2015'!C181,"AAAAAHYd/60=")</f>
        <v>#VALUE!</v>
      </c>
      <c r="FS44" t="e">
        <f>AND('2015'!D181,"AAAAAHYd/64=")</f>
        <v>#VALUE!</v>
      </c>
      <c r="FT44" t="e">
        <f>AND('2015'!E181,"AAAAAHYd/68=")</f>
        <v>#VALUE!</v>
      </c>
      <c r="FU44" t="e">
        <f>AND('2015'!F181,"AAAAAHYd/7A=")</f>
        <v>#VALUE!</v>
      </c>
      <c r="FV44" t="e">
        <f>AND('2015'!G181,"AAAAAHYd/7E=")</f>
        <v>#VALUE!</v>
      </c>
      <c r="FW44" t="e">
        <f>AND('2015'!H181,"AAAAAHYd/7I=")</f>
        <v>#VALUE!</v>
      </c>
      <c r="FX44" t="e">
        <f>AND('2015'!I181,"AAAAAHYd/7M=")</f>
        <v>#VALUE!</v>
      </c>
      <c r="FY44" t="e">
        <f>AND('2015'!J181,"AAAAAHYd/7Q=")</f>
        <v>#VALUE!</v>
      </c>
      <c r="FZ44" t="e">
        <f>AND('2015'!K181,"AAAAAHYd/7U=")</f>
        <v>#VALUE!</v>
      </c>
      <c r="GA44" t="e">
        <f>AND('2015'!L181,"AAAAAHYd/7Y=")</f>
        <v>#VALUE!</v>
      </c>
      <c r="GB44" t="e">
        <f>AND('2015'!M181,"AAAAAHYd/7c=")</f>
        <v>#VALUE!</v>
      </c>
      <c r="GC44" t="e">
        <f>AND('2015'!N181,"AAAAAHYd/7g=")</f>
        <v>#VALUE!</v>
      </c>
      <c r="GD44" t="e">
        <f>AND('2015'!O181,"AAAAAHYd/7k=")</f>
        <v>#VALUE!</v>
      </c>
      <c r="GE44" t="e">
        <f>AND('2015'!P181,"AAAAAHYd/7o=")</f>
        <v>#VALUE!</v>
      </c>
      <c r="GF44" t="e">
        <f>AND('2015'!Q181,"AAAAAHYd/7s=")</f>
        <v>#VALUE!</v>
      </c>
      <c r="GG44" t="e">
        <f>AND('2015'!R181,"AAAAAHYd/7w=")</f>
        <v>#VALUE!</v>
      </c>
      <c r="GH44" t="e">
        <f>AND('2015'!S181,"AAAAAHYd/70=")</f>
        <v>#VALUE!</v>
      </c>
      <c r="GI44" t="e">
        <f>AND('2015'!T181,"AAAAAHYd/74=")</f>
        <v>#VALUE!</v>
      </c>
      <c r="GJ44" t="e">
        <f>AND('2015'!U181,"AAAAAHYd/78=")</f>
        <v>#VALUE!</v>
      </c>
      <c r="GK44" t="e">
        <f>AND('2015'!V181,"AAAAAHYd/8A=")</f>
        <v>#VALUE!</v>
      </c>
      <c r="GL44" t="e">
        <f>AND('2015'!W181,"AAAAAHYd/8E=")</f>
        <v>#VALUE!</v>
      </c>
      <c r="GM44" t="e">
        <f>AND('2015'!X181,"AAAAAHYd/8I=")</f>
        <v>#VALUE!</v>
      </c>
      <c r="GN44" t="e">
        <f>AND('2015'!Y181,"AAAAAHYd/8M=")</f>
        <v>#VALUE!</v>
      </c>
      <c r="GO44" t="e">
        <f>AND('2015'!Z181,"AAAAAHYd/8Q=")</f>
        <v>#VALUE!</v>
      </c>
      <c r="GP44" t="e">
        <f>AND('2015'!AA181,"AAAAAHYd/8U=")</f>
        <v>#VALUE!</v>
      </c>
      <c r="GQ44" t="e">
        <f>AND('2015'!AB181,"AAAAAHYd/8Y=")</f>
        <v>#VALUE!</v>
      </c>
      <c r="GR44" t="e">
        <f>AND('2015'!AC181,"AAAAAHYd/8c=")</f>
        <v>#VALUE!</v>
      </c>
      <c r="GS44" t="e">
        <f>AND('2015'!AD181,"AAAAAHYd/8g=")</f>
        <v>#VALUE!</v>
      </c>
      <c r="GT44" t="e">
        <f>AND('2015'!AE181,"AAAAAHYd/8k=")</f>
        <v>#VALUE!</v>
      </c>
      <c r="GU44" t="e">
        <f>AND('2015'!AF181,"AAAAAHYd/8o=")</f>
        <v>#VALUE!</v>
      </c>
      <c r="GV44" t="e">
        <f>AND('2015'!AG181,"AAAAAHYd/8s=")</f>
        <v>#VALUE!</v>
      </c>
      <c r="GW44" t="e">
        <f>AND('2015'!AH181,"AAAAAHYd/8w=")</f>
        <v>#VALUE!</v>
      </c>
      <c r="GX44" t="e">
        <f>AND('2015'!AI181,"AAAAAHYd/80=")</f>
        <v>#VALUE!</v>
      </c>
      <c r="GY44" t="e">
        <f>AND('2015'!AJ181,"AAAAAHYd/84=")</f>
        <v>#VALUE!</v>
      </c>
      <c r="GZ44" t="e">
        <f>AND('2015'!AK181,"AAAAAHYd/88=")</f>
        <v>#VALUE!</v>
      </c>
      <c r="HA44" t="e">
        <f>AND('2015'!AL181,"AAAAAHYd/9A=")</f>
        <v>#VALUE!</v>
      </c>
      <c r="HB44" t="e">
        <f>AND('2015'!AM181,"AAAAAHYd/9E=")</f>
        <v>#VALUE!</v>
      </c>
      <c r="HC44" t="e">
        <f>AND('2015'!AN181,"AAAAAHYd/9I=")</f>
        <v>#VALUE!</v>
      </c>
      <c r="HD44" t="e">
        <f>AND('2015'!AO181,"AAAAAHYd/9M=")</f>
        <v>#VALUE!</v>
      </c>
      <c r="HE44" t="e">
        <f>AND('2015'!AP181,"AAAAAHYd/9Q=")</f>
        <v>#VALUE!</v>
      </c>
      <c r="HF44" t="e">
        <f>AND('2015'!AQ181,"AAAAAHYd/9U=")</f>
        <v>#VALUE!</v>
      </c>
      <c r="HG44" t="e">
        <f>AND('2015'!AR181,"AAAAAHYd/9Y=")</f>
        <v>#VALUE!</v>
      </c>
      <c r="HH44" t="e">
        <f>AND('2015'!AS181,"AAAAAHYd/9c=")</f>
        <v>#VALUE!</v>
      </c>
      <c r="HI44" t="e">
        <f>AND('2015'!AT181,"AAAAAHYd/9g=")</f>
        <v>#VALUE!</v>
      </c>
      <c r="HJ44" t="e">
        <f>AND('2015'!#REF!,"AAAAAHYd/9k=")</f>
        <v>#REF!</v>
      </c>
      <c r="HK44" t="e">
        <f>AND('2015'!AU181,"AAAAAHYd/9o=")</f>
        <v>#VALUE!</v>
      </c>
      <c r="HL44" t="e">
        <f>AND('2015'!AV181,"AAAAAHYd/9s=")</f>
        <v>#VALUE!</v>
      </c>
      <c r="HM44" t="e">
        <f>AND('2015'!AW181,"AAAAAHYd/9w=")</f>
        <v>#VALUE!</v>
      </c>
      <c r="HN44" t="e">
        <f>AND('2015'!AX181,"AAAAAHYd/90=")</f>
        <v>#VALUE!</v>
      </c>
      <c r="HO44" t="e">
        <f>AND('2015'!AY181,"AAAAAHYd/94=")</f>
        <v>#VALUE!</v>
      </c>
      <c r="HP44" t="e">
        <f>AND('2015'!AZ181,"AAAAAHYd/98=")</f>
        <v>#VALUE!</v>
      </c>
      <c r="HQ44" t="e">
        <f>AND('2015'!BA181,"AAAAAHYd/+A=")</f>
        <v>#VALUE!</v>
      </c>
      <c r="HR44" t="e">
        <f>AND('2015'!BB181,"AAAAAHYd/+E=")</f>
        <v>#VALUE!</v>
      </c>
      <c r="HS44" t="e">
        <f>AND('2015'!BC181,"AAAAAHYd/+I=")</f>
        <v>#VALUE!</v>
      </c>
      <c r="HT44" t="e">
        <f>AND('2015'!BD181,"AAAAAHYd/+M=")</f>
        <v>#VALUE!</v>
      </c>
      <c r="HU44" t="e">
        <f>AND('2015'!BE181,"AAAAAHYd/+Q=")</f>
        <v>#VALUE!</v>
      </c>
      <c r="HV44" t="e">
        <f>AND('2015'!BF181,"AAAAAHYd/+U=")</f>
        <v>#VALUE!</v>
      </c>
      <c r="HW44" t="e">
        <f>AND('2015'!BG181,"AAAAAHYd/+Y=")</f>
        <v>#VALUE!</v>
      </c>
      <c r="HX44" t="e">
        <f>AND('2015'!BH181,"AAAAAHYd/+c=")</f>
        <v>#VALUE!</v>
      </c>
      <c r="HY44" t="e">
        <f>AND('2015'!BI181,"AAAAAHYd/+g=")</f>
        <v>#VALUE!</v>
      </c>
      <c r="HZ44" t="e">
        <f>AND('2015'!#REF!,"AAAAAHYd/+k=")</f>
        <v>#REF!</v>
      </c>
      <c r="IA44" t="e">
        <f>AND('2015'!BJ181,"AAAAAHYd/+o=")</f>
        <v>#VALUE!</v>
      </c>
      <c r="IB44" t="e">
        <f>AND('2015'!BK181,"AAAAAHYd/+s=")</f>
        <v>#VALUE!</v>
      </c>
      <c r="IC44" t="e">
        <f>AND('2015'!BL181,"AAAAAHYd/+w=")</f>
        <v>#VALUE!</v>
      </c>
      <c r="ID44" t="e">
        <f>AND('2015'!BM181,"AAAAAHYd/+0=")</f>
        <v>#VALUE!</v>
      </c>
      <c r="IE44" t="e">
        <f>AND('2015'!BY181,"AAAAAHYd/+4=")</f>
        <v>#VALUE!</v>
      </c>
      <c r="IF44">
        <f>IF('2015'!182:182,"AAAAAHYd/+8=",0)</f>
        <v>0</v>
      </c>
      <c r="IG44" t="e">
        <f>AND('2015'!A182,"AAAAAHYd//A=")</f>
        <v>#VALUE!</v>
      </c>
      <c r="IH44" t="e">
        <f>AND('2015'!B182,"AAAAAHYd//E=")</f>
        <v>#VALUE!</v>
      </c>
      <c r="II44" t="e">
        <f>AND('2015'!C182,"AAAAAHYd//I=")</f>
        <v>#VALUE!</v>
      </c>
      <c r="IJ44" t="e">
        <f>AND('2015'!D182,"AAAAAHYd//M=")</f>
        <v>#VALUE!</v>
      </c>
      <c r="IK44" t="e">
        <f>AND('2015'!E182,"AAAAAHYd//Q=")</f>
        <v>#VALUE!</v>
      </c>
      <c r="IL44" t="e">
        <f>AND('2015'!F182,"AAAAAHYd//U=")</f>
        <v>#VALUE!</v>
      </c>
      <c r="IM44" t="e">
        <f>AND('2015'!G182,"AAAAAHYd//Y=")</f>
        <v>#VALUE!</v>
      </c>
      <c r="IN44" t="e">
        <f>AND('2015'!H182,"AAAAAHYd//c=")</f>
        <v>#VALUE!</v>
      </c>
      <c r="IO44" t="e">
        <f>AND('2015'!I182,"AAAAAHYd//g=")</f>
        <v>#VALUE!</v>
      </c>
      <c r="IP44" t="e">
        <f>AND('2015'!J182,"AAAAAHYd//k=")</f>
        <v>#VALUE!</v>
      </c>
      <c r="IQ44" t="e">
        <f>AND('2015'!K182,"AAAAAHYd//o=")</f>
        <v>#VALUE!</v>
      </c>
      <c r="IR44" t="e">
        <f>AND('2015'!L182,"AAAAAHYd//s=")</f>
        <v>#VALUE!</v>
      </c>
      <c r="IS44" t="e">
        <f>AND('2015'!M182,"AAAAAHYd//w=")</f>
        <v>#VALUE!</v>
      </c>
      <c r="IT44" t="e">
        <f>AND('2015'!N182,"AAAAAHYd//0=")</f>
        <v>#VALUE!</v>
      </c>
      <c r="IU44" t="e">
        <f>AND('2015'!O182,"AAAAAHYd//4=")</f>
        <v>#VALUE!</v>
      </c>
      <c r="IV44" t="e">
        <f>AND('2015'!P182,"AAAAAHYd//8=")</f>
        <v>#VALUE!</v>
      </c>
    </row>
    <row r="45" spans="1:256" x14ac:dyDescent="0.25">
      <c r="A45" t="e">
        <f>AND('2015'!Q182,"AAAAAD/7+QA=")</f>
        <v>#VALUE!</v>
      </c>
      <c r="B45" t="e">
        <f>AND('2015'!R182,"AAAAAD/7+QE=")</f>
        <v>#VALUE!</v>
      </c>
      <c r="C45" t="e">
        <f>AND('2015'!S182,"AAAAAD/7+QI=")</f>
        <v>#VALUE!</v>
      </c>
      <c r="D45" t="e">
        <f>AND('2015'!T182,"AAAAAD/7+QM=")</f>
        <v>#VALUE!</v>
      </c>
      <c r="E45" t="e">
        <f>AND('2015'!U182,"AAAAAD/7+QQ=")</f>
        <v>#VALUE!</v>
      </c>
      <c r="F45" t="e">
        <f>AND('2015'!V182,"AAAAAD/7+QU=")</f>
        <v>#VALUE!</v>
      </c>
      <c r="G45" t="e">
        <f>AND('2015'!W182,"AAAAAD/7+QY=")</f>
        <v>#VALUE!</v>
      </c>
      <c r="H45" t="e">
        <f>AND('2015'!X182,"AAAAAD/7+Qc=")</f>
        <v>#VALUE!</v>
      </c>
      <c r="I45" t="e">
        <f>AND('2015'!Y182,"AAAAAD/7+Qg=")</f>
        <v>#VALUE!</v>
      </c>
      <c r="J45" t="e">
        <f>AND('2015'!Z182,"AAAAAD/7+Qk=")</f>
        <v>#VALUE!</v>
      </c>
      <c r="K45" t="e">
        <f>AND('2015'!AA182,"AAAAAD/7+Qo=")</f>
        <v>#VALUE!</v>
      </c>
      <c r="L45" t="e">
        <f>AND('2015'!AB182,"AAAAAD/7+Qs=")</f>
        <v>#VALUE!</v>
      </c>
      <c r="M45" t="e">
        <f>AND('2015'!AC182,"AAAAAD/7+Qw=")</f>
        <v>#VALUE!</v>
      </c>
      <c r="N45" t="e">
        <f>AND('2015'!AD182,"AAAAAD/7+Q0=")</f>
        <v>#VALUE!</v>
      </c>
      <c r="O45" t="e">
        <f>AND('2015'!AE182,"AAAAAD/7+Q4=")</f>
        <v>#VALUE!</v>
      </c>
      <c r="P45" t="e">
        <f>AND('2015'!AF182,"AAAAAD/7+Q8=")</f>
        <v>#VALUE!</v>
      </c>
      <c r="Q45" t="e">
        <f>AND('2015'!AG182,"AAAAAD/7+RA=")</f>
        <v>#VALUE!</v>
      </c>
      <c r="R45" t="e">
        <f>AND('2015'!AH182,"AAAAAD/7+RE=")</f>
        <v>#VALUE!</v>
      </c>
      <c r="S45" t="e">
        <f>AND('2015'!AI182,"AAAAAD/7+RI=")</f>
        <v>#VALUE!</v>
      </c>
      <c r="T45" t="e">
        <f>AND('2015'!AJ182,"AAAAAD/7+RM=")</f>
        <v>#VALUE!</v>
      </c>
      <c r="U45" t="e">
        <f>AND('2015'!AK182,"AAAAAD/7+RQ=")</f>
        <v>#VALUE!</v>
      </c>
      <c r="V45" t="e">
        <f>AND('2015'!AL182,"AAAAAD/7+RU=")</f>
        <v>#VALUE!</v>
      </c>
      <c r="W45" t="e">
        <f>AND('2015'!AM182,"AAAAAD/7+RY=")</f>
        <v>#VALUE!</v>
      </c>
      <c r="X45" t="e">
        <f>AND('2015'!AN182,"AAAAAD/7+Rc=")</f>
        <v>#VALUE!</v>
      </c>
      <c r="Y45" t="e">
        <f>AND('2015'!AO182,"AAAAAD/7+Rg=")</f>
        <v>#VALUE!</v>
      </c>
      <c r="Z45" t="e">
        <f>AND('2015'!AP182,"AAAAAD/7+Rk=")</f>
        <v>#VALUE!</v>
      </c>
      <c r="AA45" t="e">
        <f>AND('2015'!AQ182,"AAAAAD/7+Ro=")</f>
        <v>#VALUE!</v>
      </c>
      <c r="AB45" t="e">
        <f>AND('2015'!AR182,"AAAAAD/7+Rs=")</f>
        <v>#VALUE!</v>
      </c>
      <c r="AC45" t="e">
        <f>AND('2015'!AS182,"AAAAAD/7+Rw=")</f>
        <v>#VALUE!</v>
      </c>
      <c r="AD45" t="e">
        <f>AND('2015'!AT182,"AAAAAD/7+R0=")</f>
        <v>#VALUE!</v>
      </c>
      <c r="AE45" t="e">
        <f>AND('2015'!#REF!,"AAAAAD/7+R4=")</f>
        <v>#REF!</v>
      </c>
      <c r="AF45" t="e">
        <f>AND('2015'!AU182,"AAAAAD/7+R8=")</f>
        <v>#VALUE!</v>
      </c>
      <c r="AG45" t="e">
        <f>AND('2015'!AV182,"AAAAAD/7+SA=")</f>
        <v>#VALUE!</v>
      </c>
      <c r="AH45" t="e">
        <f>AND('2015'!AW182,"AAAAAD/7+SE=")</f>
        <v>#VALUE!</v>
      </c>
      <c r="AI45" t="e">
        <f>AND('2015'!AX182,"AAAAAD/7+SI=")</f>
        <v>#VALUE!</v>
      </c>
      <c r="AJ45" t="e">
        <f>AND('2015'!AY182,"AAAAAD/7+SM=")</f>
        <v>#VALUE!</v>
      </c>
      <c r="AK45" t="e">
        <f>AND('2015'!AZ182,"AAAAAD/7+SQ=")</f>
        <v>#VALUE!</v>
      </c>
      <c r="AL45" t="e">
        <f>AND('2015'!BA182,"AAAAAD/7+SU=")</f>
        <v>#VALUE!</v>
      </c>
      <c r="AM45" t="e">
        <f>AND('2015'!BB182,"AAAAAD/7+SY=")</f>
        <v>#VALUE!</v>
      </c>
      <c r="AN45" t="e">
        <f>AND('2015'!BC182,"AAAAAD/7+Sc=")</f>
        <v>#VALUE!</v>
      </c>
      <c r="AO45" t="e">
        <f>AND('2015'!BD182,"AAAAAD/7+Sg=")</f>
        <v>#VALUE!</v>
      </c>
      <c r="AP45" t="e">
        <f>AND('2015'!BE182,"AAAAAD/7+Sk=")</f>
        <v>#VALUE!</v>
      </c>
      <c r="AQ45" t="e">
        <f>AND('2015'!BF182,"AAAAAD/7+So=")</f>
        <v>#VALUE!</v>
      </c>
      <c r="AR45" t="e">
        <f>AND('2015'!BG182,"AAAAAD/7+Ss=")</f>
        <v>#VALUE!</v>
      </c>
      <c r="AS45" t="e">
        <f>AND('2015'!BH182,"AAAAAD/7+Sw=")</f>
        <v>#VALUE!</v>
      </c>
      <c r="AT45" t="e">
        <f>AND('2015'!BI182,"AAAAAD/7+S0=")</f>
        <v>#VALUE!</v>
      </c>
      <c r="AU45" t="e">
        <f>AND('2015'!#REF!,"AAAAAD/7+S4=")</f>
        <v>#REF!</v>
      </c>
      <c r="AV45" t="e">
        <f>AND('2015'!BJ182,"AAAAAD/7+S8=")</f>
        <v>#VALUE!</v>
      </c>
      <c r="AW45" t="e">
        <f>AND('2015'!BK182,"AAAAAD/7+TA=")</f>
        <v>#VALUE!</v>
      </c>
      <c r="AX45" t="e">
        <f>AND('2015'!BL182,"AAAAAD/7+TE=")</f>
        <v>#VALUE!</v>
      </c>
      <c r="AY45" t="e">
        <f>AND('2015'!BM182,"AAAAAD/7+TI=")</f>
        <v>#VALUE!</v>
      </c>
      <c r="AZ45" t="e">
        <f>AND('2015'!BY182,"AAAAAD/7+TM=")</f>
        <v>#VALUE!</v>
      </c>
      <c r="BA45">
        <f>IF('2015'!183:183,"AAAAAD/7+TQ=",0)</f>
        <v>0</v>
      </c>
      <c r="BB45" t="e">
        <f>AND('2015'!A183,"AAAAAD/7+TU=")</f>
        <v>#VALUE!</v>
      </c>
      <c r="BC45" t="e">
        <f>AND('2015'!B183,"AAAAAD/7+TY=")</f>
        <v>#VALUE!</v>
      </c>
      <c r="BD45" t="e">
        <f>AND('2015'!C183,"AAAAAD/7+Tc=")</f>
        <v>#VALUE!</v>
      </c>
      <c r="BE45" t="e">
        <f>AND('2015'!D183,"AAAAAD/7+Tg=")</f>
        <v>#VALUE!</v>
      </c>
      <c r="BF45" t="e">
        <f>AND('2015'!E183,"AAAAAD/7+Tk=")</f>
        <v>#VALUE!</v>
      </c>
      <c r="BG45" t="e">
        <f>AND('2015'!F183,"AAAAAD/7+To=")</f>
        <v>#VALUE!</v>
      </c>
      <c r="BH45" t="e">
        <f>AND('2015'!G183,"AAAAAD/7+Ts=")</f>
        <v>#VALUE!</v>
      </c>
      <c r="BI45" t="e">
        <f>AND('2015'!H183,"AAAAAD/7+Tw=")</f>
        <v>#VALUE!</v>
      </c>
      <c r="BJ45" t="e">
        <f>AND('2015'!I183,"AAAAAD/7+T0=")</f>
        <v>#VALUE!</v>
      </c>
      <c r="BK45" t="e">
        <f>AND('2015'!J183,"AAAAAD/7+T4=")</f>
        <v>#VALUE!</v>
      </c>
      <c r="BL45" t="e">
        <f>AND('2015'!K183,"AAAAAD/7+T8=")</f>
        <v>#VALUE!</v>
      </c>
      <c r="BM45" t="e">
        <f>AND('2015'!L183,"AAAAAD/7+UA=")</f>
        <v>#VALUE!</v>
      </c>
      <c r="BN45" t="e">
        <f>AND('2015'!M183,"AAAAAD/7+UE=")</f>
        <v>#VALUE!</v>
      </c>
      <c r="BO45" t="e">
        <f>AND('2015'!N183,"AAAAAD/7+UI=")</f>
        <v>#VALUE!</v>
      </c>
      <c r="BP45" t="e">
        <f>AND('2015'!O183,"AAAAAD/7+UM=")</f>
        <v>#VALUE!</v>
      </c>
      <c r="BQ45" t="e">
        <f>AND('2015'!P183,"AAAAAD/7+UQ=")</f>
        <v>#VALUE!</v>
      </c>
      <c r="BR45" t="e">
        <f>AND('2015'!Q183,"AAAAAD/7+UU=")</f>
        <v>#VALUE!</v>
      </c>
      <c r="BS45" t="e">
        <f>AND('2015'!R183,"AAAAAD/7+UY=")</f>
        <v>#VALUE!</v>
      </c>
      <c r="BT45" t="e">
        <f>AND('2015'!S183,"AAAAAD/7+Uc=")</f>
        <v>#VALUE!</v>
      </c>
      <c r="BU45" t="e">
        <f>AND('2015'!T183,"AAAAAD/7+Ug=")</f>
        <v>#VALUE!</v>
      </c>
      <c r="BV45" t="e">
        <f>AND('2015'!U183,"AAAAAD/7+Uk=")</f>
        <v>#VALUE!</v>
      </c>
      <c r="BW45" t="e">
        <f>AND('2015'!V183,"AAAAAD/7+Uo=")</f>
        <v>#VALUE!</v>
      </c>
      <c r="BX45" t="e">
        <f>AND('2015'!W183,"AAAAAD/7+Us=")</f>
        <v>#VALUE!</v>
      </c>
      <c r="BY45" t="e">
        <f>AND('2015'!X183,"AAAAAD/7+Uw=")</f>
        <v>#VALUE!</v>
      </c>
      <c r="BZ45" t="e">
        <f>AND('2015'!Y183,"AAAAAD/7+U0=")</f>
        <v>#VALUE!</v>
      </c>
      <c r="CA45" t="e">
        <f>AND('2015'!Z183,"AAAAAD/7+U4=")</f>
        <v>#VALUE!</v>
      </c>
      <c r="CB45" t="e">
        <f>AND('2015'!AA183,"AAAAAD/7+U8=")</f>
        <v>#VALUE!</v>
      </c>
      <c r="CC45" t="e">
        <f>AND('2015'!AB183,"AAAAAD/7+VA=")</f>
        <v>#VALUE!</v>
      </c>
      <c r="CD45" t="e">
        <f>AND('2015'!AC183,"AAAAAD/7+VE=")</f>
        <v>#VALUE!</v>
      </c>
      <c r="CE45" t="e">
        <f>AND('2015'!AD183,"AAAAAD/7+VI=")</f>
        <v>#VALUE!</v>
      </c>
      <c r="CF45" t="e">
        <f>AND('2015'!AE183,"AAAAAD/7+VM=")</f>
        <v>#VALUE!</v>
      </c>
      <c r="CG45" t="e">
        <f>AND('2015'!AF183,"AAAAAD/7+VQ=")</f>
        <v>#VALUE!</v>
      </c>
      <c r="CH45" t="e">
        <f>AND('2015'!AG183,"AAAAAD/7+VU=")</f>
        <v>#VALUE!</v>
      </c>
      <c r="CI45" t="e">
        <f>AND('2015'!AH183,"AAAAAD/7+VY=")</f>
        <v>#VALUE!</v>
      </c>
      <c r="CJ45" t="e">
        <f>AND('2015'!AI183,"AAAAAD/7+Vc=")</f>
        <v>#VALUE!</v>
      </c>
      <c r="CK45" t="e">
        <f>AND('2015'!AJ183,"AAAAAD/7+Vg=")</f>
        <v>#VALUE!</v>
      </c>
      <c r="CL45" t="e">
        <f>AND('2015'!AK183,"AAAAAD/7+Vk=")</f>
        <v>#VALUE!</v>
      </c>
      <c r="CM45" t="e">
        <f>AND('2015'!AL183,"AAAAAD/7+Vo=")</f>
        <v>#VALUE!</v>
      </c>
      <c r="CN45" t="e">
        <f>AND('2015'!AM183,"AAAAAD/7+Vs=")</f>
        <v>#VALUE!</v>
      </c>
      <c r="CO45" t="e">
        <f>AND('2015'!AN183,"AAAAAD/7+Vw=")</f>
        <v>#VALUE!</v>
      </c>
      <c r="CP45" t="e">
        <f>AND('2015'!AO183,"AAAAAD/7+V0=")</f>
        <v>#VALUE!</v>
      </c>
      <c r="CQ45" t="e">
        <f>AND('2015'!AP183,"AAAAAD/7+V4=")</f>
        <v>#VALUE!</v>
      </c>
      <c r="CR45" t="e">
        <f>AND('2015'!AQ183,"AAAAAD/7+V8=")</f>
        <v>#VALUE!</v>
      </c>
      <c r="CS45" t="e">
        <f>AND('2015'!AR183,"AAAAAD/7+WA=")</f>
        <v>#VALUE!</v>
      </c>
      <c r="CT45" t="e">
        <f>AND('2015'!AS183,"AAAAAD/7+WE=")</f>
        <v>#VALUE!</v>
      </c>
      <c r="CU45" t="e">
        <f>AND('2015'!AT183,"AAAAAD/7+WI=")</f>
        <v>#VALUE!</v>
      </c>
      <c r="CV45" t="e">
        <f>AND('2015'!#REF!,"AAAAAD/7+WM=")</f>
        <v>#REF!</v>
      </c>
      <c r="CW45" t="e">
        <f>AND('2015'!AU183,"AAAAAD/7+WQ=")</f>
        <v>#VALUE!</v>
      </c>
      <c r="CX45" t="e">
        <f>AND('2015'!AV183,"AAAAAD/7+WU=")</f>
        <v>#VALUE!</v>
      </c>
      <c r="CY45" t="e">
        <f>AND('2015'!AW183,"AAAAAD/7+WY=")</f>
        <v>#VALUE!</v>
      </c>
      <c r="CZ45" t="e">
        <f>AND('2015'!AX183,"AAAAAD/7+Wc=")</f>
        <v>#VALUE!</v>
      </c>
      <c r="DA45" t="e">
        <f>AND('2015'!AY183,"AAAAAD/7+Wg=")</f>
        <v>#VALUE!</v>
      </c>
      <c r="DB45" t="e">
        <f>AND('2015'!AZ183,"AAAAAD/7+Wk=")</f>
        <v>#VALUE!</v>
      </c>
      <c r="DC45" t="e">
        <f>AND('2015'!BA183,"AAAAAD/7+Wo=")</f>
        <v>#VALUE!</v>
      </c>
      <c r="DD45" t="e">
        <f>AND('2015'!BB183,"AAAAAD/7+Ws=")</f>
        <v>#VALUE!</v>
      </c>
      <c r="DE45" t="e">
        <f>AND('2015'!BC183,"AAAAAD/7+Ww=")</f>
        <v>#VALUE!</v>
      </c>
      <c r="DF45" t="e">
        <f>AND('2015'!BD183,"AAAAAD/7+W0=")</f>
        <v>#VALUE!</v>
      </c>
      <c r="DG45" t="e">
        <f>AND('2015'!BE183,"AAAAAD/7+W4=")</f>
        <v>#VALUE!</v>
      </c>
      <c r="DH45" t="e">
        <f>AND('2015'!BF183,"AAAAAD/7+W8=")</f>
        <v>#VALUE!</v>
      </c>
      <c r="DI45" t="e">
        <f>AND('2015'!BG183,"AAAAAD/7+XA=")</f>
        <v>#VALUE!</v>
      </c>
      <c r="DJ45" t="e">
        <f>AND('2015'!BH183,"AAAAAD/7+XE=")</f>
        <v>#VALUE!</v>
      </c>
      <c r="DK45" t="e">
        <f>AND('2015'!BI183,"AAAAAD/7+XI=")</f>
        <v>#VALUE!</v>
      </c>
      <c r="DL45" t="e">
        <f>AND('2015'!#REF!,"AAAAAD/7+XM=")</f>
        <v>#REF!</v>
      </c>
      <c r="DM45" t="e">
        <f>AND('2015'!BJ183,"AAAAAD/7+XQ=")</f>
        <v>#VALUE!</v>
      </c>
      <c r="DN45" t="e">
        <f>AND('2015'!BK183,"AAAAAD/7+XU=")</f>
        <v>#VALUE!</v>
      </c>
      <c r="DO45" t="e">
        <f>AND('2015'!BL183,"AAAAAD/7+XY=")</f>
        <v>#VALUE!</v>
      </c>
      <c r="DP45" t="e">
        <f>AND('2015'!BM183,"AAAAAD/7+Xc=")</f>
        <v>#VALUE!</v>
      </c>
      <c r="DQ45" t="e">
        <f>AND('2015'!BY183,"AAAAAD/7+Xg=")</f>
        <v>#VALUE!</v>
      </c>
      <c r="DR45">
        <f>IF('2015'!21:21,"AAAAAD/7+Xk=",0)</f>
        <v>0</v>
      </c>
      <c r="DS45" t="e">
        <f>AND('2015'!B21,"AAAAAD/7+Xo=")</f>
        <v>#VALUE!</v>
      </c>
      <c r="DT45" t="e">
        <f>AND('2015'!C25,"AAAAAD/7+Xs=")</f>
        <v>#VALUE!</v>
      </c>
      <c r="DU45" t="e">
        <f>AND('2015'!#REF!,"AAAAAD/7+Xw=")</f>
        <v>#REF!</v>
      </c>
      <c r="DV45" t="e">
        <f>AND('2015'!D21,"AAAAAD/7+X0=")</f>
        <v>#VALUE!</v>
      </c>
      <c r="DW45" t="e">
        <f>AND('2015'!E21,"AAAAAD/7+X4=")</f>
        <v>#VALUE!</v>
      </c>
      <c r="DX45" t="e">
        <f>AND('2015'!F21,"AAAAAD/7+X8=")</f>
        <v>#VALUE!</v>
      </c>
      <c r="DY45" t="e">
        <f>AND('2015'!G21,"AAAAAD/7+YA=")</f>
        <v>#VALUE!</v>
      </c>
      <c r="DZ45" t="e">
        <f>AND('2015'!H21,"AAAAAD/7+YE=")</f>
        <v>#VALUE!</v>
      </c>
      <c r="EA45" t="e">
        <f>AND('2015'!I21,"AAAAAD/7+YI=")</f>
        <v>#VALUE!</v>
      </c>
      <c r="EB45" t="e">
        <f>AND('2015'!J21,"AAAAAD/7+YM=")</f>
        <v>#VALUE!</v>
      </c>
      <c r="EC45" t="e">
        <f>AND('2015'!K21,"AAAAAD/7+YQ=")</f>
        <v>#VALUE!</v>
      </c>
      <c r="ED45" t="e">
        <f>AND('2015'!L21,"AAAAAD/7+YU=")</f>
        <v>#VALUE!</v>
      </c>
      <c r="EE45" t="e">
        <f>AND('2015'!M21,"AAAAAD/7+YY=")</f>
        <v>#VALUE!</v>
      </c>
      <c r="EF45" t="e">
        <f>AND('2015'!N21,"AAAAAD/7+Yc=")</f>
        <v>#VALUE!</v>
      </c>
      <c r="EG45" t="e">
        <f>AND('2015'!O21,"AAAAAD/7+Yg=")</f>
        <v>#VALUE!</v>
      </c>
      <c r="EH45" t="e">
        <f>AND('2015'!P21,"AAAAAD/7+Yk=")</f>
        <v>#VALUE!</v>
      </c>
      <c r="EI45" t="e">
        <f>AND('2015'!Q21,"AAAAAD/7+Yo=")</f>
        <v>#VALUE!</v>
      </c>
      <c r="EJ45" t="e">
        <f>AND('2015'!R21,"AAAAAD/7+Ys=")</f>
        <v>#VALUE!</v>
      </c>
      <c r="EK45" t="e">
        <f>AND('2015'!S21,"AAAAAD/7+Yw=")</f>
        <v>#VALUE!</v>
      </c>
      <c r="EL45" t="e">
        <f>AND('2015'!T21,"AAAAAD/7+Y0=")</f>
        <v>#VALUE!</v>
      </c>
      <c r="EM45" t="e">
        <f>AND('2015'!U21,"AAAAAD/7+Y4=")</f>
        <v>#VALUE!</v>
      </c>
      <c r="EN45" t="e">
        <f>AND('2015'!V21,"AAAAAD/7+Y8=")</f>
        <v>#VALUE!</v>
      </c>
      <c r="EO45" t="e">
        <f>AND('2015'!W21,"AAAAAD/7+ZA=")</f>
        <v>#VALUE!</v>
      </c>
      <c r="EP45" t="e">
        <f>AND('2015'!X21,"AAAAAD/7+ZE=")</f>
        <v>#VALUE!</v>
      </c>
      <c r="EQ45" t="e">
        <f>AND('2015'!Y21,"AAAAAD/7+ZI=")</f>
        <v>#VALUE!</v>
      </c>
      <c r="ER45" t="e">
        <f>AND('2015'!Z21,"AAAAAD/7+ZM=")</f>
        <v>#VALUE!</v>
      </c>
      <c r="ES45" t="e">
        <f>AND('2015'!AA21,"AAAAAD/7+ZQ=")</f>
        <v>#VALUE!</v>
      </c>
      <c r="ET45" t="e">
        <f>AND('2015'!AB21,"AAAAAD/7+ZU=")</f>
        <v>#VALUE!</v>
      </c>
      <c r="EU45" t="e">
        <f>AND('2015'!AC21,"AAAAAD/7+ZY=")</f>
        <v>#VALUE!</v>
      </c>
      <c r="EV45" t="e">
        <f>AND('2015'!AD21,"AAAAAD/7+Zc=")</f>
        <v>#VALUE!</v>
      </c>
      <c r="EW45" t="e">
        <f>AND('2015'!AE21,"AAAAAD/7+Zg=")</f>
        <v>#VALUE!</v>
      </c>
      <c r="EX45" t="e">
        <f>AND('2015'!AF21,"AAAAAD/7+Zk=")</f>
        <v>#VALUE!</v>
      </c>
      <c r="EY45" t="e">
        <f>AND('2015'!AG21,"AAAAAD/7+Zo=")</f>
        <v>#VALUE!</v>
      </c>
      <c r="EZ45" t="e">
        <f>AND('2015'!AH21,"AAAAAD/7+Zs=")</f>
        <v>#VALUE!</v>
      </c>
      <c r="FA45" t="e">
        <f>AND('2015'!AI21,"AAAAAD/7+Zw=")</f>
        <v>#VALUE!</v>
      </c>
      <c r="FB45" t="e">
        <f>AND('2015'!AJ21,"AAAAAD/7+Z0=")</f>
        <v>#VALUE!</v>
      </c>
      <c r="FC45" t="e">
        <f>AND('2015'!AK21,"AAAAAD/7+Z4=")</f>
        <v>#VALUE!</v>
      </c>
      <c r="FD45" t="e">
        <f>AND('2015'!AL21,"AAAAAD/7+Z8=")</f>
        <v>#VALUE!</v>
      </c>
      <c r="FE45" t="e">
        <f>AND('2015'!AM21,"AAAAAD/7+aA=")</f>
        <v>#VALUE!</v>
      </c>
      <c r="FF45" t="e">
        <f>AND('2015'!AN21,"AAAAAD/7+aE=")</f>
        <v>#VALUE!</v>
      </c>
      <c r="FG45" t="e">
        <f>AND('2015'!AO21,"AAAAAD/7+aI=")</f>
        <v>#VALUE!</v>
      </c>
      <c r="FH45" t="e">
        <f>AND('2015'!AP21,"AAAAAD/7+aM=")</f>
        <v>#VALUE!</v>
      </c>
      <c r="FI45" t="e">
        <f>AND('2015'!AQ21,"AAAAAD/7+aQ=")</f>
        <v>#VALUE!</v>
      </c>
      <c r="FJ45" t="e">
        <f>AND('2015'!AR21,"AAAAAD/7+aU=")</f>
        <v>#VALUE!</v>
      </c>
      <c r="FK45" t="e">
        <f>AND('2015'!AS21,"AAAAAD/7+aY=")</f>
        <v>#VALUE!</v>
      </c>
      <c r="FL45" t="e">
        <f>AND('2015'!AT21,"AAAAAD/7+ac=")</f>
        <v>#VALUE!</v>
      </c>
      <c r="FM45" t="e">
        <f>AND('2015'!#REF!,"AAAAAD/7+ag=")</f>
        <v>#REF!</v>
      </c>
      <c r="FN45" t="e">
        <f>AND('2015'!AU21,"AAAAAD/7+ak=")</f>
        <v>#VALUE!</v>
      </c>
      <c r="FO45" t="e">
        <f>AND('2015'!AV21,"AAAAAD/7+ao=")</f>
        <v>#VALUE!</v>
      </c>
      <c r="FP45" t="e">
        <f>AND('2015'!AW21,"AAAAAD/7+as=")</f>
        <v>#VALUE!</v>
      </c>
      <c r="FQ45" t="e">
        <f>AND('2015'!AX21,"AAAAAD/7+aw=")</f>
        <v>#VALUE!</v>
      </c>
      <c r="FR45" t="e">
        <f>AND('2015'!AY21,"AAAAAD/7+a0=")</f>
        <v>#VALUE!</v>
      </c>
      <c r="FS45" t="e">
        <f>AND('2015'!AZ21,"AAAAAD/7+a4=")</f>
        <v>#VALUE!</v>
      </c>
      <c r="FT45" t="e">
        <f>AND('2015'!BA21,"AAAAAD/7+a8=")</f>
        <v>#VALUE!</v>
      </c>
      <c r="FU45" t="e">
        <f>AND('2015'!BB21,"AAAAAD/7+bA=")</f>
        <v>#VALUE!</v>
      </c>
      <c r="FV45" t="e">
        <f>AND('2015'!BC21,"AAAAAD/7+bE=")</f>
        <v>#VALUE!</v>
      </c>
      <c r="FW45" t="e">
        <f>AND('2015'!BD21,"AAAAAD/7+bI=")</f>
        <v>#VALUE!</v>
      </c>
      <c r="FX45" t="e">
        <f>AND('2015'!BE21,"AAAAAD/7+bM=")</f>
        <v>#VALUE!</v>
      </c>
      <c r="FY45" t="e">
        <f>AND('2015'!BF21,"AAAAAD/7+bQ=")</f>
        <v>#VALUE!</v>
      </c>
      <c r="FZ45" t="e">
        <f>AND('2015'!BG21,"AAAAAD/7+bU=")</f>
        <v>#VALUE!</v>
      </c>
      <c r="GA45" t="e">
        <f>AND('2015'!BH21,"AAAAAD/7+bY=")</f>
        <v>#VALUE!</v>
      </c>
      <c r="GB45" t="e">
        <f>AND('2015'!BI21,"AAAAAD/7+bc=")</f>
        <v>#VALUE!</v>
      </c>
      <c r="GC45" t="e">
        <f>AND('2015'!#REF!,"AAAAAD/7+bg=")</f>
        <v>#REF!</v>
      </c>
      <c r="GD45" t="e">
        <f>AND('2015'!BJ21,"AAAAAD/7+bk=")</f>
        <v>#VALUE!</v>
      </c>
      <c r="GE45" t="e">
        <f>AND('2015'!BK21,"AAAAAD/7+bo=")</f>
        <v>#VALUE!</v>
      </c>
      <c r="GF45" t="e">
        <f>AND('2015'!BL21,"AAAAAD/7+bs=")</f>
        <v>#VALUE!</v>
      </c>
      <c r="GG45" t="e">
        <f>AND('2015'!BM21,"AAAAAD/7+bw=")</f>
        <v>#VALUE!</v>
      </c>
      <c r="GH45" t="e">
        <f>AND('2015'!BY21,"AAAAAD/7+b0=")</f>
        <v>#VALUE!</v>
      </c>
      <c r="GI45" t="e">
        <f>IF('2015'!#REF!,"AAAAAD/7+b4=",0)</f>
        <v>#REF!</v>
      </c>
      <c r="GJ45" t="e">
        <f>AND('2015'!#REF!,"AAAAAD/7+b8=")</f>
        <v>#REF!</v>
      </c>
      <c r="GK45" t="e">
        <f>AND('2015'!#REF!,"AAAAAD/7+cA=")</f>
        <v>#REF!</v>
      </c>
      <c r="GL45" t="e">
        <f>AND('2015'!#REF!,"AAAAAD/7+cE=")</f>
        <v>#REF!</v>
      </c>
      <c r="GM45" t="e">
        <f>AND('2015'!#REF!,"AAAAAD/7+cI=")</f>
        <v>#REF!</v>
      </c>
      <c r="GN45" t="e">
        <f>AND('2015'!#REF!,"AAAAAD/7+cM=")</f>
        <v>#REF!</v>
      </c>
      <c r="GO45" t="e">
        <f>AND('2015'!#REF!,"AAAAAD/7+cQ=")</f>
        <v>#REF!</v>
      </c>
      <c r="GP45" t="e">
        <f>AND('2015'!#REF!,"AAAAAD/7+cU=")</f>
        <v>#REF!</v>
      </c>
      <c r="GQ45" t="e">
        <f>AND('2015'!#REF!,"AAAAAD/7+cY=")</f>
        <v>#REF!</v>
      </c>
      <c r="GR45" t="e">
        <f>AND('2015'!#REF!,"AAAAAD/7+cc=")</f>
        <v>#REF!</v>
      </c>
      <c r="GS45" t="e">
        <f>AND('2015'!#REF!,"AAAAAD/7+cg=")</f>
        <v>#REF!</v>
      </c>
      <c r="GT45" t="e">
        <f>AND('2015'!#REF!,"AAAAAD/7+ck=")</f>
        <v>#REF!</v>
      </c>
      <c r="GU45" t="e">
        <f>AND('2015'!#REF!,"AAAAAD/7+co=")</f>
        <v>#REF!</v>
      </c>
      <c r="GV45" t="e">
        <f>AND('2015'!#REF!,"AAAAAD/7+cs=")</f>
        <v>#REF!</v>
      </c>
      <c r="GW45" t="e">
        <f>AND('2015'!#REF!,"AAAAAD/7+cw=")</f>
        <v>#REF!</v>
      </c>
      <c r="GX45" t="e">
        <f>AND('2015'!#REF!,"AAAAAD/7+c0=")</f>
        <v>#REF!</v>
      </c>
      <c r="GY45" t="e">
        <f>AND('2015'!#REF!,"AAAAAD/7+c4=")</f>
        <v>#REF!</v>
      </c>
      <c r="GZ45" t="e">
        <f>AND('2015'!#REF!,"AAAAAD/7+c8=")</f>
        <v>#REF!</v>
      </c>
      <c r="HA45" t="e">
        <f>AND('2015'!#REF!,"AAAAAD/7+dA=")</f>
        <v>#REF!</v>
      </c>
      <c r="HB45" t="e">
        <f>AND('2015'!#REF!,"AAAAAD/7+dE=")</f>
        <v>#REF!</v>
      </c>
      <c r="HC45" t="e">
        <f>AND('2015'!#REF!,"AAAAAD/7+dI=")</f>
        <v>#REF!</v>
      </c>
      <c r="HD45" t="e">
        <f>AND('2015'!#REF!,"AAAAAD/7+dM=")</f>
        <v>#REF!</v>
      </c>
      <c r="HE45" t="e">
        <f>AND('2015'!#REF!,"AAAAAD/7+dQ=")</f>
        <v>#REF!</v>
      </c>
      <c r="HF45" t="e">
        <f>AND('2015'!#REF!,"AAAAAD/7+dU=")</f>
        <v>#REF!</v>
      </c>
      <c r="HG45" t="e">
        <f>AND('2015'!#REF!,"AAAAAD/7+dY=")</f>
        <v>#REF!</v>
      </c>
      <c r="HH45" t="e">
        <f>AND('2015'!#REF!,"AAAAAD/7+dc=")</f>
        <v>#REF!</v>
      </c>
      <c r="HI45" t="e">
        <f>AND('2015'!#REF!,"AAAAAD/7+dg=")</f>
        <v>#REF!</v>
      </c>
      <c r="HJ45" t="e">
        <f>AND('2015'!#REF!,"AAAAAD/7+dk=")</f>
        <v>#REF!</v>
      </c>
      <c r="HK45" t="e">
        <f>AND('2015'!#REF!,"AAAAAD/7+do=")</f>
        <v>#REF!</v>
      </c>
      <c r="HL45" t="e">
        <f>AND('2015'!#REF!,"AAAAAD/7+ds=")</f>
        <v>#REF!</v>
      </c>
      <c r="HM45" t="e">
        <f>AND('2015'!#REF!,"AAAAAD/7+dw=")</f>
        <v>#REF!</v>
      </c>
      <c r="HN45" t="e">
        <f>AND('2015'!#REF!,"AAAAAD/7+d0=")</f>
        <v>#REF!</v>
      </c>
      <c r="HO45" t="e">
        <f>AND('2015'!#REF!,"AAAAAD/7+d4=")</f>
        <v>#REF!</v>
      </c>
      <c r="HP45" t="e">
        <f>AND('2015'!#REF!,"AAAAAD/7+d8=")</f>
        <v>#REF!</v>
      </c>
      <c r="HQ45" t="e">
        <f>AND('2015'!#REF!,"AAAAAD/7+eA=")</f>
        <v>#REF!</v>
      </c>
      <c r="HR45" t="e">
        <f>AND('2015'!#REF!,"AAAAAD/7+eE=")</f>
        <v>#REF!</v>
      </c>
      <c r="HS45" t="e">
        <f>AND('2015'!#REF!,"AAAAAD/7+eI=")</f>
        <v>#REF!</v>
      </c>
      <c r="HT45" t="e">
        <f>AND('2015'!#REF!,"AAAAAD/7+eM=")</f>
        <v>#REF!</v>
      </c>
      <c r="HU45" t="e">
        <f>AND('2015'!#REF!,"AAAAAD/7+eQ=")</f>
        <v>#REF!</v>
      </c>
      <c r="HV45" t="e">
        <f>AND('2015'!#REF!,"AAAAAD/7+eU=")</f>
        <v>#REF!</v>
      </c>
      <c r="HW45" t="e">
        <f>AND('2015'!#REF!,"AAAAAD/7+eY=")</f>
        <v>#REF!</v>
      </c>
      <c r="HX45" t="e">
        <f>AND('2015'!#REF!,"AAAAAD/7+ec=")</f>
        <v>#REF!</v>
      </c>
      <c r="HY45" t="e">
        <f>AND('2015'!#REF!,"AAAAAD/7+eg=")</f>
        <v>#REF!</v>
      </c>
      <c r="HZ45" t="e">
        <f>AND('2015'!#REF!,"AAAAAD/7+ek=")</f>
        <v>#REF!</v>
      </c>
      <c r="IA45" t="e">
        <f>AND('2015'!#REF!,"AAAAAD/7+eo=")</f>
        <v>#REF!</v>
      </c>
      <c r="IB45" t="e">
        <f>AND('2015'!#REF!,"AAAAAD/7+es=")</f>
        <v>#REF!</v>
      </c>
      <c r="IC45" t="e">
        <f>AND('2015'!#REF!,"AAAAAD/7+ew=")</f>
        <v>#REF!</v>
      </c>
      <c r="ID45" t="e">
        <f>AND('2015'!#REF!,"AAAAAD/7+e0=")</f>
        <v>#REF!</v>
      </c>
      <c r="IE45" t="e">
        <f>AND('2015'!#REF!,"AAAAAD/7+e4=")</f>
        <v>#REF!</v>
      </c>
      <c r="IF45" t="e">
        <f>AND('2015'!#REF!,"AAAAAD/7+e8=")</f>
        <v>#REF!</v>
      </c>
      <c r="IG45" t="e">
        <f>AND('2015'!#REF!,"AAAAAD/7+fA=")</f>
        <v>#REF!</v>
      </c>
      <c r="IH45" t="e">
        <f>AND('2015'!#REF!,"AAAAAD/7+fE=")</f>
        <v>#REF!</v>
      </c>
      <c r="II45" t="e">
        <f>AND('2015'!#REF!,"AAAAAD/7+fI=")</f>
        <v>#REF!</v>
      </c>
      <c r="IJ45" t="e">
        <f>AND('2015'!#REF!,"AAAAAD/7+fM=")</f>
        <v>#REF!</v>
      </c>
      <c r="IK45" t="e">
        <f>AND('2015'!#REF!,"AAAAAD/7+fQ=")</f>
        <v>#REF!</v>
      </c>
      <c r="IL45" t="e">
        <f>AND('2015'!#REF!,"AAAAAD/7+fU=")</f>
        <v>#REF!</v>
      </c>
      <c r="IM45" t="e">
        <f>AND('2015'!#REF!,"AAAAAD/7+fY=")</f>
        <v>#REF!</v>
      </c>
      <c r="IN45" t="e">
        <f>AND('2015'!#REF!,"AAAAAD/7+fc=")</f>
        <v>#REF!</v>
      </c>
      <c r="IO45" t="e">
        <f>AND('2015'!#REF!,"AAAAAD/7+fg=")</f>
        <v>#REF!</v>
      </c>
      <c r="IP45" t="e">
        <f>AND('2015'!#REF!,"AAAAAD/7+fk=")</f>
        <v>#REF!</v>
      </c>
      <c r="IQ45" t="e">
        <f>AND('2015'!#REF!,"AAAAAD/7+fo=")</f>
        <v>#REF!</v>
      </c>
      <c r="IR45" t="e">
        <f>AND('2015'!#REF!,"AAAAAD/7+fs=")</f>
        <v>#REF!</v>
      </c>
      <c r="IS45" t="e">
        <f>AND('2015'!#REF!,"AAAAAD/7+fw=")</f>
        <v>#REF!</v>
      </c>
      <c r="IT45" t="e">
        <f>AND('2015'!#REF!,"AAAAAD/7+f0=")</f>
        <v>#REF!</v>
      </c>
      <c r="IU45" t="e">
        <f>AND('2015'!#REF!,"AAAAAD/7+f4=")</f>
        <v>#REF!</v>
      </c>
      <c r="IV45" t="e">
        <f>AND('2015'!#REF!,"AAAAAD/7+f8=")</f>
        <v>#REF!</v>
      </c>
    </row>
    <row r="46" spans="1:256" x14ac:dyDescent="0.25">
      <c r="A46" t="e">
        <f>AND('2015'!#REF!,"AAAAAH77/wA=")</f>
        <v>#REF!</v>
      </c>
      <c r="B46" t="e">
        <f>AND('2015'!#REF!,"AAAAAH77/wE=")</f>
        <v>#REF!</v>
      </c>
      <c r="C46" t="e">
        <f>AND('2015'!#REF!,"AAAAAH77/wI=")</f>
        <v>#REF!</v>
      </c>
      <c r="D46" t="e">
        <f>IF('2015'!22:22,"AAAAAH77/wM=",0)</f>
        <v>#VALUE!</v>
      </c>
      <c r="E46" t="e">
        <f>AND('2015'!A22,"AAAAAH77/wQ=")</f>
        <v>#VALUE!</v>
      </c>
      <c r="F46" t="e">
        <f>AND('2015'!B22,"AAAAAH77/wU=")</f>
        <v>#VALUE!</v>
      </c>
      <c r="G46" t="e">
        <f>AND('2015'!C22,"AAAAAH77/wY=")</f>
        <v>#VALUE!</v>
      </c>
      <c r="H46" t="e">
        <f>AND('2015'!D22,"AAAAAH77/wc=")</f>
        <v>#VALUE!</v>
      </c>
      <c r="I46" t="e">
        <f>AND('2015'!E22,"AAAAAH77/wg=")</f>
        <v>#VALUE!</v>
      </c>
      <c r="J46" t="e">
        <f>AND('2015'!F22,"AAAAAH77/wk=")</f>
        <v>#VALUE!</v>
      </c>
      <c r="K46" t="e">
        <f>AND('2015'!G22,"AAAAAH77/wo=")</f>
        <v>#VALUE!</v>
      </c>
      <c r="L46" t="e">
        <f>AND('2015'!H22,"AAAAAH77/ws=")</f>
        <v>#VALUE!</v>
      </c>
      <c r="M46" t="e">
        <f>AND('2015'!I22,"AAAAAH77/ww=")</f>
        <v>#VALUE!</v>
      </c>
      <c r="N46" t="e">
        <f>AND('2015'!J22,"AAAAAH77/w0=")</f>
        <v>#VALUE!</v>
      </c>
      <c r="O46" t="e">
        <f>AND('2015'!K22,"AAAAAH77/w4=")</f>
        <v>#VALUE!</v>
      </c>
      <c r="P46" t="e">
        <f>AND('2015'!L22,"AAAAAH77/w8=")</f>
        <v>#VALUE!</v>
      </c>
      <c r="Q46" t="e">
        <f>AND('2015'!M22,"AAAAAH77/xA=")</f>
        <v>#VALUE!</v>
      </c>
      <c r="R46" t="e">
        <f>AND('2015'!N22,"AAAAAH77/xE=")</f>
        <v>#VALUE!</v>
      </c>
      <c r="S46" t="e">
        <f>AND('2015'!O22,"AAAAAH77/xI=")</f>
        <v>#VALUE!</v>
      </c>
      <c r="T46" t="e">
        <f>AND('2015'!P22,"AAAAAH77/xM=")</f>
        <v>#VALUE!</v>
      </c>
      <c r="U46" t="e">
        <f>AND('2015'!Q22,"AAAAAH77/xQ=")</f>
        <v>#VALUE!</v>
      </c>
      <c r="V46" t="e">
        <f>AND('2015'!R22,"AAAAAH77/xU=")</f>
        <v>#VALUE!</v>
      </c>
      <c r="W46" t="e">
        <f>AND('2015'!S22,"AAAAAH77/xY=")</f>
        <v>#VALUE!</v>
      </c>
      <c r="X46" t="e">
        <f>AND('2015'!T22,"AAAAAH77/xc=")</f>
        <v>#VALUE!</v>
      </c>
      <c r="Y46" t="e">
        <f>AND('2015'!U22,"AAAAAH77/xg=")</f>
        <v>#VALUE!</v>
      </c>
      <c r="Z46" t="e">
        <f>AND('2015'!V22,"AAAAAH77/xk=")</f>
        <v>#VALUE!</v>
      </c>
      <c r="AA46" t="e">
        <f>AND('2015'!W22,"AAAAAH77/xo=")</f>
        <v>#VALUE!</v>
      </c>
      <c r="AB46" t="e">
        <f>AND('2015'!X22,"AAAAAH77/xs=")</f>
        <v>#VALUE!</v>
      </c>
      <c r="AC46" t="e">
        <f>AND('2015'!Y22,"AAAAAH77/xw=")</f>
        <v>#VALUE!</v>
      </c>
      <c r="AD46" t="e">
        <f>AND('2015'!Z22,"AAAAAH77/x0=")</f>
        <v>#VALUE!</v>
      </c>
      <c r="AE46" t="e">
        <f>AND('2015'!AA22,"AAAAAH77/x4=")</f>
        <v>#VALUE!</v>
      </c>
      <c r="AF46" t="e">
        <f>AND('2015'!AB22,"AAAAAH77/x8=")</f>
        <v>#VALUE!</v>
      </c>
      <c r="AG46" t="e">
        <f>AND('2015'!AC22,"AAAAAH77/yA=")</f>
        <v>#VALUE!</v>
      </c>
      <c r="AH46" t="e">
        <f>AND('2015'!AD22,"AAAAAH77/yE=")</f>
        <v>#VALUE!</v>
      </c>
      <c r="AI46" t="e">
        <f>AND('2015'!AE22,"AAAAAH77/yI=")</f>
        <v>#VALUE!</v>
      </c>
      <c r="AJ46" t="e">
        <f>AND('2015'!AF22,"AAAAAH77/yM=")</f>
        <v>#VALUE!</v>
      </c>
      <c r="AK46" t="e">
        <f>AND('2015'!AG22,"AAAAAH77/yQ=")</f>
        <v>#VALUE!</v>
      </c>
      <c r="AL46" t="e">
        <f>AND('2015'!AH22,"AAAAAH77/yU=")</f>
        <v>#VALUE!</v>
      </c>
      <c r="AM46" t="e">
        <f>AND('2015'!AI22,"AAAAAH77/yY=")</f>
        <v>#VALUE!</v>
      </c>
      <c r="AN46" t="e">
        <f>AND('2015'!AJ22,"AAAAAH77/yc=")</f>
        <v>#VALUE!</v>
      </c>
      <c r="AO46" t="e">
        <f>AND('2015'!AK22,"AAAAAH77/yg=")</f>
        <v>#VALUE!</v>
      </c>
      <c r="AP46" t="e">
        <f>AND('2015'!AL22,"AAAAAH77/yk=")</f>
        <v>#VALUE!</v>
      </c>
      <c r="AQ46" t="e">
        <f>AND('2015'!AM22,"AAAAAH77/yo=")</f>
        <v>#VALUE!</v>
      </c>
      <c r="AR46" t="e">
        <f>AND('2015'!AN22,"AAAAAH77/ys=")</f>
        <v>#VALUE!</v>
      </c>
      <c r="AS46" t="e">
        <f>AND('2015'!AO22,"AAAAAH77/yw=")</f>
        <v>#VALUE!</v>
      </c>
      <c r="AT46" t="e">
        <f>AND('2015'!AP22,"AAAAAH77/y0=")</f>
        <v>#VALUE!</v>
      </c>
      <c r="AU46" t="e">
        <f>AND('2015'!AQ22,"AAAAAH77/y4=")</f>
        <v>#VALUE!</v>
      </c>
      <c r="AV46" t="e">
        <f>AND('2015'!AR22,"AAAAAH77/y8=")</f>
        <v>#VALUE!</v>
      </c>
      <c r="AW46" t="e">
        <f>AND('2015'!AS22,"AAAAAH77/zA=")</f>
        <v>#VALUE!</v>
      </c>
      <c r="AX46" t="e">
        <f>AND('2015'!AT22,"AAAAAH77/zE=")</f>
        <v>#VALUE!</v>
      </c>
      <c r="AY46" t="e">
        <f>AND('2015'!#REF!,"AAAAAH77/zI=")</f>
        <v>#REF!</v>
      </c>
      <c r="AZ46" t="e">
        <f>AND('2015'!AU22,"AAAAAH77/zM=")</f>
        <v>#VALUE!</v>
      </c>
      <c r="BA46" t="e">
        <f>AND('2015'!AV22,"AAAAAH77/zQ=")</f>
        <v>#VALUE!</v>
      </c>
      <c r="BB46" t="e">
        <f>AND('2015'!AW22,"AAAAAH77/zU=")</f>
        <v>#VALUE!</v>
      </c>
      <c r="BC46" t="e">
        <f>AND('2015'!AX22,"AAAAAH77/zY=")</f>
        <v>#VALUE!</v>
      </c>
      <c r="BD46" t="e">
        <f>AND('2015'!AY22,"AAAAAH77/zc=")</f>
        <v>#VALUE!</v>
      </c>
      <c r="BE46" t="e">
        <f>AND('2015'!AZ22,"AAAAAH77/zg=")</f>
        <v>#VALUE!</v>
      </c>
      <c r="BF46" t="e">
        <f>AND('2015'!BA22,"AAAAAH77/zk=")</f>
        <v>#VALUE!</v>
      </c>
      <c r="BG46" t="e">
        <f>AND('2015'!BB22,"AAAAAH77/zo=")</f>
        <v>#VALUE!</v>
      </c>
      <c r="BH46" t="e">
        <f>AND('2015'!BC22,"AAAAAH77/zs=")</f>
        <v>#VALUE!</v>
      </c>
      <c r="BI46" t="e">
        <f>AND('2015'!BD22,"AAAAAH77/zw=")</f>
        <v>#VALUE!</v>
      </c>
      <c r="BJ46" t="e">
        <f>AND('2015'!BE22,"AAAAAH77/z0=")</f>
        <v>#VALUE!</v>
      </c>
      <c r="BK46" t="e">
        <f>AND('2015'!BF22,"AAAAAH77/z4=")</f>
        <v>#VALUE!</v>
      </c>
      <c r="BL46" t="e">
        <f>AND('2015'!BG22,"AAAAAH77/z8=")</f>
        <v>#VALUE!</v>
      </c>
      <c r="BM46" t="e">
        <f>AND('2015'!BH22,"AAAAAH77/0A=")</f>
        <v>#VALUE!</v>
      </c>
      <c r="BN46" t="e">
        <f>AND('2015'!BI22,"AAAAAH77/0E=")</f>
        <v>#VALUE!</v>
      </c>
      <c r="BO46" t="e">
        <f>AND('2015'!#REF!,"AAAAAH77/0I=")</f>
        <v>#REF!</v>
      </c>
      <c r="BP46" t="e">
        <f>AND('2015'!BJ22,"AAAAAH77/0M=")</f>
        <v>#VALUE!</v>
      </c>
      <c r="BQ46" t="e">
        <f>AND('2015'!BK22,"AAAAAH77/0Q=")</f>
        <v>#VALUE!</v>
      </c>
      <c r="BR46" t="e">
        <f>AND('2015'!BL22,"AAAAAH77/0U=")</f>
        <v>#VALUE!</v>
      </c>
      <c r="BS46" t="e">
        <f>AND('2015'!BM22,"AAAAAH77/0Y=")</f>
        <v>#VALUE!</v>
      </c>
      <c r="BT46" t="e">
        <f>AND('2015'!BY22,"AAAAAH77/0c=")</f>
        <v>#VALUE!</v>
      </c>
      <c r="BU46" t="e">
        <f>IF('2015'!#REF!,"AAAAAH77/0g=",0)</f>
        <v>#REF!</v>
      </c>
      <c r="BV46" t="e">
        <f>AND('2015'!#REF!,"AAAAAH77/0k=")</f>
        <v>#REF!</v>
      </c>
      <c r="BW46" t="e">
        <f>AND('2015'!#REF!,"AAAAAH77/0o=")</f>
        <v>#REF!</v>
      </c>
      <c r="BX46" t="e">
        <f>AND('2015'!#REF!,"AAAAAH77/0s=")</f>
        <v>#REF!</v>
      </c>
      <c r="BY46" t="e">
        <f>AND('2015'!#REF!,"AAAAAH77/0w=")</f>
        <v>#REF!</v>
      </c>
      <c r="BZ46" t="e">
        <f>AND('2015'!#REF!,"AAAAAH77/00=")</f>
        <v>#REF!</v>
      </c>
      <c r="CA46" t="e">
        <f>AND('2015'!#REF!,"AAAAAH77/04=")</f>
        <v>#REF!</v>
      </c>
      <c r="CB46" t="e">
        <f>AND('2015'!#REF!,"AAAAAH77/08=")</f>
        <v>#REF!</v>
      </c>
      <c r="CC46" t="e">
        <f>AND('2015'!#REF!,"AAAAAH77/1A=")</f>
        <v>#REF!</v>
      </c>
      <c r="CD46" t="e">
        <f>AND('2015'!#REF!,"AAAAAH77/1E=")</f>
        <v>#REF!</v>
      </c>
      <c r="CE46" t="e">
        <f>AND('2015'!#REF!,"AAAAAH77/1I=")</f>
        <v>#REF!</v>
      </c>
      <c r="CF46" t="e">
        <f>AND('2015'!#REF!,"AAAAAH77/1M=")</f>
        <v>#REF!</v>
      </c>
      <c r="CG46" t="e">
        <f>AND('2015'!#REF!,"AAAAAH77/1Q=")</f>
        <v>#REF!</v>
      </c>
      <c r="CH46" t="e">
        <f>AND('2015'!#REF!,"AAAAAH77/1U=")</f>
        <v>#REF!</v>
      </c>
      <c r="CI46" t="e">
        <f>AND('2015'!#REF!,"AAAAAH77/1Y=")</f>
        <v>#REF!</v>
      </c>
      <c r="CJ46" t="e">
        <f>AND('2015'!#REF!,"AAAAAH77/1c=")</f>
        <v>#REF!</v>
      </c>
      <c r="CK46" t="e">
        <f>AND('2015'!#REF!,"AAAAAH77/1g=")</f>
        <v>#REF!</v>
      </c>
      <c r="CL46" t="e">
        <f>AND('2015'!#REF!,"AAAAAH77/1k=")</f>
        <v>#REF!</v>
      </c>
      <c r="CM46" t="e">
        <f>AND('2015'!#REF!,"AAAAAH77/1o=")</f>
        <v>#REF!</v>
      </c>
      <c r="CN46" t="e">
        <f>AND('2015'!#REF!,"AAAAAH77/1s=")</f>
        <v>#REF!</v>
      </c>
      <c r="CO46" t="e">
        <f>AND('2015'!#REF!,"AAAAAH77/1w=")</f>
        <v>#REF!</v>
      </c>
      <c r="CP46" t="e">
        <f>AND('2015'!#REF!,"AAAAAH77/10=")</f>
        <v>#REF!</v>
      </c>
      <c r="CQ46" t="e">
        <f>AND('2015'!#REF!,"AAAAAH77/14=")</f>
        <v>#REF!</v>
      </c>
      <c r="CR46" t="e">
        <f>AND('2015'!#REF!,"AAAAAH77/18=")</f>
        <v>#REF!</v>
      </c>
      <c r="CS46" t="e">
        <f>AND('2015'!#REF!,"AAAAAH77/2A=")</f>
        <v>#REF!</v>
      </c>
      <c r="CT46" t="e">
        <f>AND('2015'!#REF!,"AAAAAH77/2E=")</f>
        <v>#REF!</v>
      </c>
      <c r="CU46" t="e">
        <f>AND('2015'!#REF!,"AAAAAH77/2I=")</f>
        <v>#REF!</v>
      </c>
      <c r="CV46" t="e">
        <f>AND('2015'!#REF!,"AAAAAH77/2M=")</f>
        <v>#REF!</v>
      </c>
      <c r="CW46" t="e">
        <f>AND('2015'!#REF!,"AAAAAH77/2Q=")</f>
        <v>#REF!</v>
      </c>
      <c r="CX46" t="e">
        <f>AND('2015'!#REF!,"AAAAAH77/2U=")</f>
        <v>#REF!</v>
      </c>
      <c r="CY46" t="e">
        <f>AND('2015'!#REF!,"AAAAAH77/2Y=")</f>
        <v>#REF!</v>
      </c>
      <c r="CZ46" t="e">
        <f>AND('2015'!#REF!,"AAAAAH77/2c=")</f>
        <v>#REF!</v>
      </c>
      <c r="DA46" t="e">
        <f>AND('2015'!#REF!,"AAAAAH77/2g=")</f>
        <v>#REF!</v>
      </c>
      <c r="DB46" t="e">
        <f>AND('2015'!#REF!,"AAAAAH77/2k=")</f>
        <v>#REF!</v>
      </c>
      <c r="DC46" t="e">
        <f>AND('2015'!#REF!,"AAAAAH77/2o=")</f>
        <v>#REF!</v>
      </c>
      <c r="DD46" t="e">
        <f>AND('2015'!#REF!,"AAAAAH77/2s=")</f>
        <v>#REF!</v>
      </c>
      <c r="DE46" t="e">
        <f>AND('2015'!#REF!,"AAAAAH77/2w=")</f>
        <v>#REF!</v>
      </c>
      <c r="DF46" t="e">
        <f>AND('2015'!#REF!,"AAAAAH77/20=")</f>
        <v>#REF!</v>
      </c>
      <c r="DG46" t="e">
        <f>AND('2015'!#REF!,"AAAAAH77/24=")</f>
        <v>#REF!</v>
      </c>
      <c r="DH46" t="e">
        <f>AND('2015'!#REF!,"AAAAAH77/28=")</f>
        <v>#REF!</v>
      </c>
      <c r="DI46" t="e">
        <f>AND('2015'!#REF!,"AAAAAH77/3A=")</f>
        <v>#REF!</v>
      </c>
      <c r="DJ46" t="e">
        <f>AND('2015'!#REF!,"AAAAAH77/3E=")</f>
        <v>#REF!</v>
      </c>
      <c r="DK46" t="e">
        <f>AND('2015'!#REF!,"AAAAAH77/3I=")</f>
        <v>#REF!</v>
      </c>
      <c r="DL46" t="e">
        <f>AND('2015'!#REF!,"AAAAAH77/3M=")</f>
        <v>#REF!</v>
      </c>
      <c r="DM46" t="e">
        <f>AND('2015'!#REF!,"AAAAAH77/3Q=")</f>
        <v>#REF!</v>
      </c>
      <c r="DN46" t="e">
        <f>AND('2015'!#REF!,"AAAAAH77/3U=")</f>
        <v>#REF!</v>
      </c>
      <c r="DO46" t="e">
        <f>AND('2015'!#REF!,"AAAAAH77/3Y=")</f>
        <v>#REF!</v>
      </c>
      <c r="DP46" t="e">
        <f>AND('2015'!#REF!,"AAAAAH77/3c=")</f>
        <v>#REF!</v>
      </c>
      <c r="DQ46" t="e">
        <f>AND('2015'!#REF!,"AAAAAH77/3g=")</f>
        <v>#REF!</v>
      </c>
      <c r="DR46" t="e">
        <f>AND('2015'!#REF!,"AAAAAH77/3k=")</f>
        <v>#REF!</v>
      </c>
      <c r="DS46" t="e">
        <f>AND('2015'!#REF!,"AAAAAH77/3o=")</f>
        <v>#REF!</v>
      </c>
      <c r="DT46" t="e">
        <f>AND('2015'!#REF!,"AAAAAH77/3s=")</f>
        <v>#REF!</v>
      </c>
      <c r="DU46" t="e">
        <f>AND('2015'!#REF!,"AAAAAH77/3w=")</f>
        <v>#REF!</v>
      </c>
      <c r="DV46" t="e">
        <f>AND('2015'!#REF!,"AAAAAH77/30=")</f>
        <v>#REF!</v>
      </c>
      <c r="DW46" t="e">
        <f>AND('2015'!#REF!,"AAAAAH77/34=")</f>
        <v>#REF!</v>
      </c>
      <c r="DX46" t="e">
        <f>AND('2015'!#REF!,"AAAAAH77/38=")</f>
        <v>#REF!</v>
      </c>
      <c r="DY46" t="e">
        <f>AND('2015'!#REF!,"AAAAAH77/4A=")</f>
        <v>#REF!</v>
      </c>
      <c r="DZ46" t="e">
        <f>AND('2015'!#REF!,"AAAAAH77/4E=")</f>
        <v>#REF!</v>
      </c>
      <c r="EA46" t="e">
        <f>AND('2015'!#REF!,"AAAAAH77/4I=")</f>
        <v>#REF!</v>
      </c>
      <c r="EB46" t="e">
        <f>AND('2015'!#REF!,"AAAAAH77/4M=")</f>
        <v>#REF!</v>
      </c>
      <c r="EC46" t="e">
        <f>AND('2015'!#REF!,"AAAAAH77/4Q=")</f>
        <v>#REF!</v>
      </c>
      <c r="ED46" t="e">
        <f>AND('2015'!#REF!,"AAAAAH77/4U=")</f>
        <v>#REF!</v>
      </c>
      <c r="EE46" t="e">
        <f>AND('2015'!#REF!,"AAAAAH77/4Y=")</f>
        <v>#REF!</v>
      </c>
      <c r="EF46" t="e">
        <f>AND('2015'!#REF!,"AAAAAH77/4c=")</f>
        <v>#REF!</v>
      </c>
      <c r="EG46" t="e">
        <f>AND('2015'!#REF!,"AAAAAH77/4g=")</f>
        <v>#REF!</v>
      </c>
      <c r="EH46" t="e">
        <f>AND('2015'!#REF!,"AAAAAH77/4k=")</f>
        <v>#REF!</v>
      </c>
      <c r="EI46" t="e">
        <f>AND('2015'!#REF!,"AAAAAH77/4o=")</f>
        <v>#REF!</v>
      </c>
      <c r="EJ46" t="e">
        <f>AND('2015'!#REF!,"AAAAAH77/4s=")</f>
        <v>#REF!</v>
      </c>
      <c r="EK46" t="e">
        <f>AND('2015'!#REF!,"AAAAAH77/4w=")</f>
        <v>#REF!</v>
      </c>
      <c r="EL46">
        <f>IF('2015'!24:24,"AAAAAH77/40=",0)</f>
        <v>0</v>
      </c>
      <c r="EM46" t="e">
        <f>AND('2015'!A24,"AAAAAH77/44=")</f>
        <v>#VALUE!</v>
      </c>
      <c r="EN46" t="e">
        <f>AND('2015'!B24,"AAAAAH77/48=")</f>
        <v>#VALUE!</v>
      </c>
      <c r="EO46" t="e">
        <f>AND('2015'!C24,"AAAAAH77/5A=")</f>
        <v>#VALUE!</v>
      </c>
      <c r="EP46" t="e">
        <f>AND('2015'!D24,"AAAAAH77/5E=")</f>
        <v>#VALUE!</v>
      </c>
      <c r="EQ46" t="e">
        <f>AND('2015'!E24,"AAAAAH77/5I=")</f>
        <v>#VALUE!</v>
      </c>
      <c r="ER46" t="e">
        <f>AND('2015'!F24,"AAAAAH77/5M=")</f>
        <v>#VALUE!</v>
      </c>
      <c r="ES46" t="e">
        <f>AND('2015'!G24,"AAAAAH77/5Q=")</f>
        <v>#VALUE!</v>
      </c>
      <c r="ET46" t="e">
        <f>AND('2015'!H24,"AAAAAH77/5U=")</f>
        <v>#VALUE!</v>
      </c>
      <c r="EU46" t="e">
        <f>AND('2015'!I24,"AAAAAH77/5Y=")</f>
        <v>#VALUE!</v>
      </c>
      <c r="EV46" t="e">
        <f>AND('2015'!J24,"AAAAAH77/5c=")</f>
        <v>#VALUE!</v>
      </c>
      <c r="EW46" t="e">
        <f>AND('2015'!K24,"AAAAAH77/5g=")</f>
        <v>#VALUE!</v>
      </c>
      <c r="EX46" t="e">
        <f>AND('2015'!L24,"AAAAAH77/5k=")</f>
        <v>#VALUE!</v>
      </c>
      <c r="EY46" t="e">
        <f>AND('2015'!M24,"AAAAAH77/5o=")</f>
        <v>#VALUE!</v>
      </c>
      <c r="EZ46" t="e">
        <f>AND('2015'!N24,"AAAAAH77/5s=")</f>
        <v>#VALUE!</v>
      </c>
      <c r="FA46" t="e">
        <f>AND('2015'!O24,"AAAAAH77/5w=")</f>
        <v>#VALUE!</v>
      </c>
      <c r="FB46" t="e">
        <f>AND('2015'!P24,"AAAAAH77/50=")</f>
        <v>#VALUE!</v>
      </c>
      <c r="FC46" t="e">
        <f>AND('2015'!Q24,"AAAAAH77/54=")</f>
        <v>#VALUE!</v>
      </c>
      <c r="FD46" t="e">
        <f>AND('2015'!R24,"AAAAAH77/58=")</f>
        <v>#VALUE!</v>
      </c>
      <c r="FE46" t="e">
        <f>AND('2015'!S24,"AAAAAH77/6A=")</f>
        <v>#VALUE!</v>
      </c>
      <c r="FF46" t="e">
        <f>AND('2015'!T24,"AAAAAH77/6E=")</f>
        <v>#VALUE!</v>
      </c>
      <c r="FG46" t="e">
        <f>AND('2015'!U24,"AAAAAH77/6I=")</f>
        <v>#VALUE!</v>
      </c>
      <c r="FH46" t="e">
        <f>AND('2015'!V24,"AAAAAH77/6M=")</f>
        <v>#VALUE!</v>
      </c>
      <c r="FI46" t="e">
        <f>AND('2015'!W24,"AAAAAH77/6Q=")</f>
        <v>#VALUE!</v>
      </c>
      <c r="FJ46" t="e">
        <f>AND('2015'!X24,"AAAAAH77/6U=")</f>
        <v>#VALUE!</v>
      </c>
      <c r="FK46" t="e">
        <f>AND('2015'!Y24,"AAAAAH77/6Y=")</f>
        <v>#VALUE!</v>
      </c>
      <c r="FL46" t="e">
        <f>AND('2015'!Z24,"AAAAAH77/6c=")</f>
        <v>#VALUE!</v>
      </c>
      <c r="FM46" t="e">
        <f>AND('2015'!AA24,"AAAAAH77/6g=")</f>
        <v>#VALUE!</v>
      </c>
      <c r="FN46" t="e">
        <f>AND('2015'!AB24,"AAAAAH77/6k=")</f>
        <v>#VALUE!</v>
      </c>
      <c r="FO46" t="e">
        <f>AND('2015'!AC24,"AAAAAH77/6o=")</f>
        <v>#VALUE!</v>
      </c>
      <c r="FP46" t="e">
        <f>AND('2015'!AD24,"AAAAAH77/6s=")</f>
        <v>#VALUE!</v>
      </c>
      <c r="FQ46" t="e">
        <f>AND('2015'!AE24,"AAAAAH77/6w=")</f>
        <v>#VALUE!</v>
      </c>
      <c r="FR46" t="e">
        <f>AND('2015'!AF24,"AAAAAH77/60=")</f>
        <v>#VALUE!</v>
      </c>
      <c r="FS46" t="e">
        <f>AND('2015'!AG24,"AAAAAH77/64=")</f>
        <v>#VALUE!</v>
      </c>
      <c r="FT46" t="e">
        <f>AND('2015'!AH24,"AAAAAH77/68=")</f>
        <v>#VALUE!</v>
      </c>
      <c r="FU46" t="e">
        <f>AND('2015'!AI24,"AAAAAH77/7A=")</f>
        <v>#VALUE!</v>
      </c>
      <c r="FV46" t="e">
        <f>AND('2015'!AJ24,"AAAAAH77/7E=")</f>
        <v>#VALUE!</v>
      </c>
      <c r="FW46" t="e">
        <f>AND('2015'!AK24,"AAAAAH77/7I=")</f>
        <v>#VALUE!</v>
      </c>
      <c r="FX46" t="e">
        <f>AND('2015'!AL24,"AAAAAH77/7M=")</f>
        <v>#VALUE!</v>
      </c>
      <c r="FY46" t="e">
        <f>AND('2015'!AM24,"AAAAAH77/7Q=")</f>
        <v>#VALUE!</v>
      </c>
      <c r="FZ46" t="e">
        <f>AND('2015'!AN24,"AAAAAH77/7U=")</f>
        <v>#VALUE!</v>
      </c>
      <c r="GA46" t="e">
        <f>AND('2015'!AO24,"AAAAAH77/7Y=")</f>
        <v>#VALUE!</v>
      </c>
      <c r="GB46" t="e">
        <f>AND('2015'!AP24,"AAAAAH77/7c=")</f>
        <v>#VALUE!</v>
      </c>
      <c r="GC46" t="e">
        <f>AND('2015'!AQ24,"AAAAAH77/7g=")</f>
        <v>#VALUE!</v>
      </c>
      <c r="GD46" t="e">
        <f>AND('2015'!AR24,"AAAAAH77/7k=")</f>
        <v>#VALUE!</v>
      </c>
      <c r="GE46" t="e">
        <f>AND('2015'!AS24,"AAAAAH77/7o=")</f>
        <v>#VALUE!</v>
      </c>
      <c r="GF46" t="e">
        <f>AND('2015'!AT24,"AAAAAH77/7s=")</f>
        <v>#VALUE!</v>
      </c>
      <c r="GG46" t="e">
        <f>AND('2015'!#REF!,"AAAAAH77/7w=")</f>
        <v>#REF!</v>
      </c>
      <c r="GH46" t="e">
        <f>AND('2015'!AU24,"AAAAAH77/70=")</f>
        <v>#VALUE!</v>
      </c>
      <c r="GI46" t="e">
        <f>AND('2015'!AV24,"AAAAAH77/74=")</f>
        <v>#VALUE!</v>
      </c>
      <c r="GJ46" t="e">
        <f>AND('2015'!AW24,"AAAAAH77/78=")</f>
        <v>#VALUE!</v>
      </c>
      <c r="GK46" t="e">
        <f>AND('2015'!AX24,"AAAAAH77/8A=")</f>
        <v>#VALUE!</v>
      </c>
      <c r="GL46" t="e">
        <f>AND('2015'!AY24,"AAAAAH77/8E=")</f>
        <v>#VALUE!</v>
      </c>
      <c r="GM46" t="e">
        <f>AND('2015'!AZ24,"AAAAAH77/8I=")</f>
        <v>#VALUE!</v>
      </c>
      <c r="GN46" t="e">
        <f>AND('2015'!BA24,"AAAAAH77/8M=")</f>
        <v>#VALUE!</v>
      </c>
      <c r="GO46" t="e">
        <f>AND('2015'!BB24,"AAAAAH77/8Q=")</f>
        <v>#VALUE!</v>
      </c>
      <c r="GP46" t="e">
        <f>AND('2015'!BC24,"AAAAAH77/8U=")</f>
        <v>#VALUE!</v>
      </c>
      <c r="GQ46" t="e">
        <f>AND('2015'!BD24,"AAAAAH77/8Y=")</f>
        <v>#VALUE!</v>
      </c>
      <c r="GR46" t="e">
        <f>AND('2015'!BE24,"AAAAAH77/8c=")</f>
        <v>#VALUE!</v>
      </c>
      <c r="GS46" t="e">
        <f>AND('2015'!BF24,"AAAAAH77/8g=")</f>
        <v>#VALUE!</v>
      </c>
      <c r="GT46" t="e">
        <f>AND('2015'!BG24,"AAAAAH77/8k=")</f>
        <v>#VALUE!</v>
      </c>
      <c r="GU46" t="e">
        <f>AND('2015'!BH24,"AAAAAH77/8o=")</f>
        <v>#VALUE!</v>
      </c>
      <c r="GV46" t="e">
        <f>AND('2015'!BI24,"AAAAAH77/8s=")</f>
        <v>#VALUE!</v>
      </c>
      <c r="GW46" t="e">
        <f>AND('2015'!#REF!,"AAAAAH77/8w=")</f>
        <v>#REF!</v>
      </c>
      <c r="GX46" t="e">
        <f>AND('2015'!BJ24,"AAAAAH77/80=")</f>
        <v>#VALUE!</v>
      </c>
      <c r="GY46" t="e">
        <f>AND('2015'!BK24,"AAAAAH77/84=")</f>
        <v>#VALUE!</v>
      </c>
      <c r="GZ46" t="e">
        <f>AND('2015'!BL24,"AAAAAH77/88=")</f>
        <v>#VALUE!</v>
      </c>
      <c r="HA46" t="e">
        <f>AND('2015'!BM24,"AAAAAH77/9A=")</f>
        <v>#VALUE!</v>
      </c>
      <c r="HB46" t="e">
        <f>AND('2015'!BY24,"AAAAAH77/9E=")</f>
        <v>#VALUE!</v>
      </c>
      <c r="HC46">
        <f>IF('2015'!25:25,"AAAAAH77/9I=",0)</f>
        <v>0</v>
      </c>
      <c r="HD46" t="e">
        <f>AND('2015'!A25,"AAAAAH77/9M=")</f>
        <v>#VALUE!</v>
      </c>
      <c r="HE46" t="e">
        <f>AND('2015'!#REF!,"AAAAAH77/9Q=")</f>
        <v>#REF!</v>
      </c>
      <c r="HF46" t="e">
        <f>AND('2015'!#REF!,"AAAAAH77/9U=")</f>
        <v>#REF!</v>
      </c>
      <c r="HG46" t="e">
        <f>AND('2015'!D25,"AAAAAH77/9Y=")</f>
        <v>#VALUE!</v>
      </c>
      <c r="HH46" t="e">
        <f>AND('2015'!E25,"AAAAAH77/9c=")</f>
        <v>#VALUE!</v>
      </c>
      <c r="HI46" t="e">
        <f>AND('2015'!F25,"AAAAAH77/9g=")</f>
        <v>#VALUE!</v>
      </c>
      <c r="HJ46" t="e">
        <f>AND('2015'!G25,"AAAAAH77/9k=")</f>
        <v>#VALUE!</v>
      </c>
      <c r="HK46" t="e">
        <f>AND('2015'!H25,"AAAAAH77/9o=")</f>
        <v>#VALUE!</v>
      </c>
      <c r="HL46" t="e">
        <f>AND('2015'!I25,"AAAAAH77/9s=")</f>
        <v>#VALUE!</v>
      </c>
      <c r="HM46" t="e">
        <f>AND('2015'!J25,"AAAAAH77/9w=")</f>
        <v>#VALUE!</v>
      </c>
      <c r="HN46" t="e">
        <f>AND('2015'!K25,"AAAAAH77/90=")</f>
        <v>#VALUE!</v>
      </c>
      <c r="HO46" t="e">
        <f>AND('2015'!L25,"AAAAAH77/94=")</f>
        <v>#VALUE!</v>
      </c>
      <c r="HP46" t="e">
        <f>AND('2015'!M25,"AAAAAH77/98=")</f>
        <v>#VALUE!</v>
      </c>
      <c r="HQ46" t="e">
        <f>AND('2015'!N25,"AAAAAH77/+A=")</f>
        <v>#VALUE!</v>
      </c>
      <c r="HR46" t="e">
        <f>AND('2015'!O25,"AAAAAH77/+E=")</f>
        <v>#VALUE!</v>
      </c>
      <c r="HS46" t="e">
        <f>AND('2015'!P25,"AAAAAH77/+I=")</f>
        <v>#VALUE!</v>
      </c>
      <c r="HT46" t="e">
        <f>AND('2015'!Q25,"AAAAAH77/+M=")</f>
        <v>#VALUE!</v>
      </c>
      <c r="HU46" t="e">
        <f>AND('2015'!R25,"AAAAAH77/+Q=")</f>
        <v>#VALUE!</v>
      </c>
      <c r="HV46" t="e">
        <f>AND('2015'!S25,"AAAAAH77/+U=")</f>
        <v>#VALUE!</v>
      </c>
      <c r="HW46" t="e">
        <f>AND('2015'!T25,"AAAAAH77/+Y=")</f>
        <v>#VALUE!</v>
      </c>
      <c r="HX46" t="e">
        <f>AND('2015'!U25,"AAAAAH77/+c=")</f>
        <v>#VALUE!</v>
      </c>
      <c r="HY46" t="e">
        <f>AND('2015'!V25,"AAAAAH77/+g=")</f>
        <v>#VALUE!</v>
      </c>
      <c r="HZ46" t="e">
        <f>AND('2015'!W25,"AAAAAH77/+k=")</f>
        <v>#VALUE!</v>
      </c>
      <c r="IA46" t="e">
        <f>AND('2015'!X25,"AAAAAH77/+o=")</f>
        <v>#VALUE!</v>
      </c>
      <c r="IB46" t="e">
        <f>AND('2015'!Y25,"AAAAAH77/+s=")</f>
        <v>#VALUE!</v>
      </c>
      <c r="IC46" t="e">
        <f>AND('2015'!Z25,"AAAAAH77/+w=")</f>
        <v>#VALUE!</v>
      </c>
      <c r="ID46" t="e">
        <f>AND('2015'!AA25,"AAAAAH77/+0=")</f>
        <v>#VALUE!</v>
      </c>
      <c r="IE46" t="e">
        <f>AND('2015'!AB25,"AAAAAH77/+4=")</f>
        <v>#VALUE!</v>
      </c>
      <c r="IF46" t="e">
        <f>AND('2015'!AC25,"AAAAAH77/+8=")</f>
        <v>#VALUE!</v>
      </c>
      <c r="IG46" t="e">
        <f>AND('2015'!AD25,"AAAAAH77//A=")</f>
        <v>#VALUE!</v>
      </c>
      <c r="IH46" t="e">
        <f>AND('2015'!AE25,"AAAAAH77//E=")</f>
        <v>#VALUE!</v>
      </c>
      <c r="II46" t="e">
        <f>AND('2015'!AF25,"AAAAAH77//I=")</f>
        <v>#VALUE!</v>
      </c>
      <c r="IJ46" t="e">
        <f>AND('2015'!AG25,"AAAAAH77//M=")</f>
        <v>#VALUE!</v>
      </c>
      <c r="IK46" t="e">
        <f>AND('2015'!AH25,"AAAAAH77//Q=")</f>
        <v>#VALUE!</v>
      </c>
      <c r="IL46" t="e">
        <f>AND('2015'!AI25,"AAAAAH77//U=")</f>
        <v>#VALUE!</v>
      </c>
      <c r="IM46" t="e">
        <f>AND('2015'!AJ25,"AAAAAH77//Y=")</f>
        <v>#VALUE!</v>
      </c>
      <c r="IN46" t="e">
        <f>AND('2015'!AK25,"AAAAAH77//c=")</f>
        <v>#VALUE!</v>
      </c>
      <c r="IO46" t="e">
        <f>AND('2015'!AL25,"AAAAAH77//g=")</f>
        <v>#VALUE!</v>
      </c>
      <c r="IP46" t="e">
        <f>AND('2015'!AM25,"AAAAAH77//k=")</f>
        <v>#VALUE!</v>
      </c>
      <c r="IQ46" t="e">
        <f>AND('2015'!AN25,"AAAAAH77//o=")</f>
        <v>#VALUE!</v>
      </c>
      <c r="IR46" t="e">
        <f>AND('2015'!AO25,"AAAAAH77//s=")</f>
        <v>#VALUE!</v>
      </c>
      <c r="IS46" t="e">
        <f>AND('2015'!AP25,"AAAAAH77//w=")</f>
        <v>#VALUE!</v>
      </c>
      <c r="IT46" t="e">
        <f>AND('2015'!AQ25,"AAAAAH77//0=")</f>
        <v>#VALUE!</v>
      </c>
      <c r="IU46" t="e">
        <f>AND('2015'!AR25,"AAAAAH77//4=")</f>
        <v>#VALUE!</v>
      </c>
      <c r="IV46" t="e">
        <f>AND('2015'!AS25,"AAAAAH77//8=")</f>
        <v>#VALUE!</v>
      </c>
    </row>
    <row r="47" spans="1:256" x14ac:dyDescent="0.25">
      <c r="A47" t="e">
        <f>AND('2015'!AT25,"AAAAAH/t8AA=")</f>
        <v>#VALUE!</v>
      </c>
      <c r="B47" t="e">
        <f>AND('2015'!#REF!,"AAAAAH/t8AE=")</f>
        <v>#REF!</v>
      </c>
      <c r="C47" t="e">
        <f>AND('2015'!AU25,"AAAAAH/t8AI=")</f>
        <v>#VALUE!</v>
      </c>
      <c r="D47" t="e">
        <f>AND('2015'!AV25,"AAAAAH/t8AM=")</f>
        <v>#VALUE!</v>
      </c>
      <c r="E47" t="e">
        <f>AND('2015'!AW25,"AAAAAH/t8AQ=")</f>
        <v>#VALUE!</v>
      </c>
      <c r="F47" t="e">
        <f>AND('2015'!AX25,"AAAAAH/t8AU=")</f>
        <v>#VALUE!</v>
      </c>
      <c r="G47" t="e">
        <f>AND('2015'!AY25,"AAAAAH/t8AY=")</f>
        <v>#VALUE!</v>
      </c>
      <c r="H47" t="e">
        <f>AND('2015'!AZ25,"AAAAAH/t8Ac=")</f>
        <v>#VALUE!</v>
      </c>
      <c r="I47" t="e">
        <f>AND('2015'!BA25,"AAAAAH/t8Ag=")</f>
        <v>#VALUE!</v>
      </c>
      <c r="J47" t="e">
        <f>AND('2015'!BB25,"AAAAAH/t8Ak=")</f>
        <v>#VALUE!</v>
      </c>
      <c r="K47" t="e">
        <f>AND('2015'!BC25,"AAAAAH/t8Ao=")</f>
        <v>#VALUE!</v>
      </c>
      <c r="L47" t="e">
        <f>AND('2015'!BD25,"AAAAAH/t8As=")</f>
        <v>#VALUE!</v>
      </c>
      <c r="M47" t="e">
        <f>AND('2015'!BE25,"AAAAAH/t8Aw=")</f>
        <v>#VALUE!</v>
      </c>
      <c r="N47" t="e">
        <f>AND('2015'!BF25,"AAAAAH/t8A0=")</f>
        <v>#VALUE!</v>
      </c>
      <c r="O47" t="e">
        <f>AND('2015'!BG25,"AAAAAH/t8A4=")</f>
        <v>#VALUE!</v>
      </c>
      <c r="P47" t="e">
        <f>AND('2015'!BH25,"AAAAAH/t8A8=")</f>
        <v>#VALUE!</v>
      </c>
      <c r="Q47" t="e">
        <f>AND('2015'!BI25,"AAAAAH/t8BA=")</f>
        <v>#VALUE!</v>
      </c>
      <c r="R47" t="e">
        <f>AND('2015'!#REF!,"AAAAAH/t8BE=")</f>
        <v>#REF!</v>
      </c>
      <c r="S47" t="e">
        <f>AND('2015'!BJ25,"AAAAAH/t8BI=")</f>
        <v>#VALUE!</v>
      </c>
      <c r="T47" t="e">
        <f>AND('2015'!BK25,"AAAAAH/t8BM=")</f>
        <v>#VALUE!</v>
      </c>
      <c r="U47" t="e">
        <f>AND('2015'!BL25,"AAAAAH/t8BQ=")</f>
        <v>#VALUE!</v>
      </c>
      <c r="V47" t="e">
        <f>AND('2015'!BM25,"AAAAAH/t8BU=")</f>
        <v>#VALUE!</v>
      </c>
      <c r="W47" t="e">
        <f>AND('2015'!BY25,"AAAAAH/t8BY=")</f>
        <v>#VALUE!</v>
      </c>
      <c r="X47">
        <f>IF('2015'!30:30,"AAAAAH/t8Bc=",0)</f>
        <v>0</v>
      </c>
      <c r="Y47" t="e">
        <f>AND('2015'!A30,"AAAAAH/t8Bg=")</f>
        <v>#VALUE!</v>
      </c>
      <c r="Z47" t="e">
        <f>AND('2015'!B30,"AAAAAH/t8Bk=")</f>
        <v>#VALUE!</v>
      </c>
      <c r="AA47" t="e">
        <f>AND('2015'!C30,"AAAAAH/t8Bo=")</f>
        <v>#VALUE!</v>
      </c>
      <c r="AB47" t="e">
        <f>AND('2015'!D30,"AAAAAH/t8Bs=")</f>
        <v>#VALUE!</v>
      </c>
      <c r="AC47" t="e">
        <f>AND('2015'!E30,"AAAAAH/t8Bw=")</f>
        <v>#VALUE!</v>
      </c>
      <c r="AD47" t="e">
        <f>AND('2015'!F30,"AAAAAH/t8B0=")</f>
        <v>#VALUE!</v>
      </c>
      <c r="AE47" t="e">
        <f>AND('2015'!G30,"AAAAAH/t8B4=")</f>
        <v>#VALUE!</v>
      </c>
      <c r="AF47" t="e">
        <f>AND('2015'!H30,"AAAAAH/t8B8=")</f>
        <v>#VALUE!</v>
      </c>
      <c r="AG47" t="e">
        <f>AND('2015'!I30,"AAAAAH/t8CA=")</f>
        <v>#VALUE!</v>
      </c>
      <c r="AH47" t="e">
        <f>AND('2015'!J30,"AAAAAH/t8CE=")</f>
        <v>#VALUE!</v>
      </c>
      <c r="AI47" t="e">
        <f>AND('2015'!K30,"AAAAAH/t8CI=")</f>
        <v>#VALUE!</v>
      </c>
      <c r="AJ47" t="e">
        <f>AND('2015'!L30,"AAAAAH/t8CM=")</f>
        <v>#VALUE!</v>
      </c>
      <c r="AK47" t="e">
        <f>AND('2015'!M30,"AAAAAH/t8CQ=")</f>
        <v>#VALUE!</v>
      </c>
      <c r="AL47" t="e">
        <f>AND('2015'!N30,"AAAAAH/t8CU=")</f>
        <v>#VALUE!</v>
      </c>
      <c r="AM47" t="e">
        <f>AND('2015'!O30,"AAAAAH/t8CY=")</f>
        <v>#VALUE!</v>
      </c>
      <c r="AN47" t="e">
        <f>AND('2015'!P30,"AAAAAH/t8Cc=")</f>
        <v>#VALUE!</v>
      </c>
      <c r="AO47" t="e">
        <f>AND('2015'!Q30,"AAAAAH/t8Cg=")</f>
        <v>#VALUE!</v>
      </c>
      <c r="AP47" t="e">
        <f>AND('2015'!R30,"AAAAAH/t8Ck=")</f>
        <v>#VALUE!</v>
      </c>
      <c r="AQ47" t="e">
        <f>AND('2015'!S30,"AAAAAH/t8Co=")</f>
        <v>#VALUE!</v>
      </c>
      <c r="AR47" t="e">
        <f>AND('2015'!T30,"AAAAAH/t8Cs=")</f>
        <v>#VALUE!</v>
      </c>
      <c r="AS47" t="e">
        <f>AND('2015'!U30,"AAAAAH/t8Cw=")</f>
        <v>#VALUE!</v>
      </c>
      <c r="AT47" t="e">
        <f>AND('2015'!V30,"AAAAAH/t8C0=")</f>
        <v>#VALUE!</v>
      </c>
      <c r="AU47" t="e">
        <f>AND('2015'!W30,"AAAAAH/t8C4=")</f>
        <v>#VALUE!</v>
      </c>
      <c r="AV47" t="e">
        <f>AND('2015'!X30,"AAAAAH/t8C8=")</f>
        <v>#VALUE!</v>
      </c>
      <c r="AW47" t="e">
        <f>AND('2015'!Y30,"AAAAAH/t8DA=")</f>
        <v>#VALUE!</v>
      </c>
      <c r="AX47" t="e">
        <f>AND('2015'!Z30,"AAAAAH/t8DE=")</f>
        <v>#VALUE!</v>
      </c>
      <c r="AY47" t="e">
        <f>AND('2015'!AA30,"AAAAAH/t8DI=")</f>
        <v>#VALUE!</v>
      </c>
      <c r="AZ47" t="e">
        <f>AND('2015'!AB30,"AAAAAH/t8DM=")</f>
        <v>#VALUE!</v>
      </c>
      <c r="BA47" t="e">
        <f>AND('2015'!AC30,"AAAAAH/t8DQ=")</f>
        <v>#VALUE!</v>
      </c>
      <c r="BB47" t="e">
        <f>AND('2015'!AD30,"AAAAAH/t8DU=")</f>
        <v>#VALUE!</v>
      </c>
      <c r="BC47" t="e">
        <f>AND('2015'!AE30,"AAAAAH/t8DY=")</f>
        <v>#VALUE!</v>
      </c>
      <c r="BD47" t="e">
        <f>AND('2015'!AF30,"AAAAAH/t8Dc=")</f>
        <v>#VALUE!</v>
      </c>
      <c r="BE47" t="e">
        <f>AND('2015'!AG30,"AAAAAH/t8Dg=")</f>
        <v>#VALUE!</v>
      </c>
      <c r="BF47" t="e">
        <f>AND('2015'!AH30,"AAAAAH/t8Dk=")</f>
        <v>#VALUE!</v>
      </c>
      <c r="BG47" t="e">
        <f>AND('2015'!AI30,"AAAAAH/t8Do=")</f>
        <v>#VALUE!</v>
      </c>
      <c r="BH47" t="e">
        <f>AND('2015'!AJ30,"AAAAAH/t8Ds=")</f>
        <v>#VALUE!</v>
      </c>
      <c r="BI47" t="e">
        <f>AND('2015'!AK30,"AAAAAH/t8Dw=")</f>
        <v>#VALUE!</v>
      </c>
      <c r="BJ47" t="e">
        <f>AND('2015'!AL30,"AAAAAH/t8D0=")</f>
        <v>#VALUE!</v>
      </c>
      <c r="BK47" t="e">
        <f>AND('2015'!AM30,"AAAAAH/t8D4=")</f>
        <v>#VALUE!</v>
      </c>
      <c r="BL47" t="e">
        <f>AND('2015'!AN30,"AAAAAH/t8D8=")</f>
        <v>#VALUE!</v>
      </c>
      <c r="BM47" t="e">
        <f>AND('2015'!AO30,"AAAAAH/t8EA=")</f>
        <v>#VALUE!</v>
      </c>
      <c r="BN47" t="e">
        <f>AND('2015'!AP30,"AAAAAH/t8EE=")</f>
        <v>#VALUE!</v>
      </c>
      <c r="BO47" t="e">
        <f>AND('2015'!AQ30,"AAAAAH/t8EI=")</f>
        <v>#VALUE!</v>
      </c>
      <c r="BP47" t="e">
        <f>AND('2015'!AR30,"AAAAAH/t8EM=")</f>
        <v>#VALUE!</v>
      </c>
      <c r="BQ47" t="e">
        <f>AND('2015'!AS30,"AAAAAH/t8EQ=")</f>
        <v>#VALUE!</v>
      </c>
      <c r="BR47" t="e">
        <f>AND('2015'!AT30,"AAAAAH/t8EU=")</f>
        <v>#VALUE!</v>
      </c>
      <c r="BS47" t="e">
        <f>AND('2015'!#REF!,"AAAAAH/t8EY=")</f>
        <v>#REF!</v>
      </c>
      <c r="BT47" t="e">
        <f>AND('2015'!AU30,"AAAAAH/t8Ec=")</f>
        <v>#VALUE!</v>
      </c>
      <c r="BU47" t="e">
        <f>AND('2015'!AV30,"AAAAAH/t8Eg=")</f>
        <v>#VALUE!</v>
      </c>
      <c r="BV47" t="e">
        <f>AND('2015'!AW30,"AAAAAH/t8Ek=")</f>
        <v>#VALUE!</v>
      </c>
      <c r="BW47" t="e">
        <f>AND('2015'!AX30,"AAAAAH/t8Eo=")</f>
        <v>#VALUE!</v>
      </c>
      <c r="BX47" t="e">
        <f>AND('2015'!AY30,"AAAAAH/t8Es=")</f>
        <v>#VALUE!</v>
      </c>
      <c r="BY47" t="e">
        <f>AND('2015'!AZ30,"AAAAAH/t8Ew=")</f>
        <v>#VALUE!</v>
      </c>
      <c r="BZ47" t="e">
        <f>AND('2015'!BA30,"AAAAAH/t8E0=")</f>
        <v>#VALUE!</v>
      </c>
      <c r="CA47" t="e">
        <f>AND('2015'!BB30,"AAAAAH/t8E4=")</f>
        <v>#VALUE!</v>
      </c>
      <c r="CB47" t="e">
        <f>AND('2015'!BC30,"AAAAAH/t8E8=")</f>
        <v>#VALUE!</v>
      </c>
      <c r="CC47" t="e">
        <f>AND('2015'!BD30,"AAAAAH/t8FA=")</f>
        <v>#VALUE!</v>
      </c>
      <c r="CD47" t="e">
        <f>AND('2015'!BE30,"AAAAAH/t8FE=")</f>
        <v>#VALUE!</v>
      </c>
      <c r="CE47" t="e">
        <f>AND('2015'!BF30,"AAAAAH/t8FI=")</f>
        <v>#VALUE!</v>
      </c>
      <c r="CF47" t="e">
        <f>AND('2015'!BG30,"AAAAAH/t8FM=")</f>
        <v>#VALUE!</v>
      </c>
      <c r="CG47" t="e">
        <f>AND('2015'!BH30,"AAAAAH/t8FQ=")</f>
        <v>#VALUE!</v>
      </c>
      <c r="CH47" t="e">
        <f>AND('2015'!BI30,"AAAAAH/t8FU=")</f>
        <v>#VALUE!</v>
      </c>
      <c r="CI47" t="e">
        <f>AND('2015'!#REF!,"AAAAAH/t8FY=")</f>
        <v>#REF!</v>
      </c>
      <c r="CJ47" t="e">
        <f>AND('2015'!BJ30,"AAAAAH/t8Fc=")</f>
        <v>#VALUE!</v>
      </c>
      <c r="CK47" t="e">
        <f>AND('2015'!BK30,"AAAAAH/t8Fg=")</f>
        <v>#VALUE!</v>
      </c>
      <c r="CL47" t="e">
        <f>AND('2015'!BL30,"AAAAAH/t8Fk=")</f>
        <v>#VALUE!</v>
      </c>
      <c r="CM47" t="e">
        <f>AND('2015'!BM30,"AAAAAH/t8Fo=")</f>
        <v>#VALUE!</v>
      </c>
      <c r="CN47" t="e">
        <f>AND('2015'!BY30,"AAAAAH/t8Fs=")</f>
        <v>#VALUE!</v>
      </c>
      <c r="CO47">
        <f>IF('2015'!185:185,"AAAAAH/t8Fw=",0)</f>
        <v>0</v>
      </c>
      <c r="CP47" t="e">
        <f>AND('2015'!A185,"AAAAAH/t8F0=")</f>
        <v>#VALUE!</v>
      </c>
      <c r="CQ47" t="e">
        <f>AND('2015'!C185,"AAAAAH/t8F4=")</f>
        <v>#VALUE!</v>
      </c>
      <c r="CR47" t="e">
        <f>AND('2015'!#REF!,"AAAAAH/t8F8=")</f>
        <v>#REF!</v>
      </c>
      <c r="CS47" t="e">
        <f>AND('2015'!D185,"AAAAAH/t8GA=")</f>
        <v>#VALUE!</v>
      </c>
      <c r="CT47" t="e">
        <f>AND('2015'!E185,"AAAAAH/t8GE=")</f>
        <v>#VALUE!</v>
      </c>
      <c r="CU47" t="e">
        <f>AND('2015'!F185,"AAAAAH/t8GI=")</f>
        <v>#VALUE!</v>
      </c>
      <c r="CV47" t="e">
        <f>AND('2015'!G185,"AAAAAH/t8GM=")</f>
        <v>#VALUE!</v>
      </c>
      <c r="CW47" t="e">
        <f>AND('2015'!H185,"AAAAAH/t8GQ=")</f>
        <v>#VALUE!</v>
      </c>
      <c r="CX47" t="e">
        <f>AND('2015'!I185,"AAAAAH/t8GU=")</f>
        <v>#VALUE!</v>
      </c>
      <c r="CY47" t="e">
        <f>AND('2015'!J185,"AAAAAH/t8GY=")</f>
        <v>#VALUE!</v>
      </c>
      <c r="CZ47" t="e">
        <f>AND('2015'!K185,"AAAAAH/t8Gc=")</f>
        <v>#VALUE!</v>
      </c>
      <c r="DA47" t="e">
        <f>AND('2015'!L185,"AAAAAH/t8Gg=")</f>
        <v>#VALUE!</v>
      </c>
      <c r="DB47" t="e">
        <f>AND('2015'!M185,"AAAAAH/t8Gk=")</f>
        <v>#VALUE!</v>
      </c>
      <c r="DC47" t="e">
        <f>AND('2015'!N185,"AAAAAH/t8Go=")</f>
        <v>#VALUE!</v>
      </c>
      <c r="DD47" t="e">
        <f>AND('2015'!O185,"AAAAAH/t8Gs=")</f>
        <v>#VALUE!</v>
      </c>
      <c r="DE47" t="e">
        <f>AND('2015'!P185,"AAAAAH/t8Gw=")</f>
        <v>#VALUE!</v>
      </c>
      <c r="DF47" t="e">
        <f>AND('2015'!Q185,"AAAAAH/t8G0=")</f>
        <v>#VALUE!</v>
      </c>
      <c r="DG47" t="e">
        <f>AND('2015'!R185,"AAAAAH/t8G4=")</f>
        <v>#VALUE!</v>
      </c>
      <c r="DH47" t="e">
        <f>AND('2015'!S185,"AAAAAH/t8G8=")</f>
        <v>#VALUE!</v>
      </c>
      <c r="DI47" t="e">
        <f>AND('2015'!T185,"AAAAAH/t8HA=")</f>
        <v>#VALUE!</v>
      </c>
      <c r="DJ47" t="e">
        <f>AND('2015'!U185,"AAAAAH/t8HE=")</f>
        <v>#VALUE!</v>
      </c>
      <c r="DK47" t="e">
        <f>AND('2015'!V185,"AAAAAH/t8HI=")</f>
        <v>#VALUE!</v>
      </c>
      <c r="DL47" t="e">
        <f>AND('2015'!W185,"AAAAAH/t8HM=")</f>
        <v>#VALUE!</v>
      </c>
      <c r="DM47" t="e">
        <f>AND('2015'!X185,"AAAAAH/t8HQ=")</f>
        <v>#VALUE!</v>
      </c>
      <c r="DN47" t="e">
        <f>AND('2015'!Y185,"AAAAAH/t8HU=")</f>
        <v>#VALUE!</v>
      </c>
      <c r="DO47" t="e">
        <f>AND('2015'!Z185,"AAAAAH/t8HY=")</f>
        <v>#VALUE!</v>
      </c>
      <c r="DP47" t="e">
        <f>AND('2015'!AA185,"AAAAAH/t8Hc=")</f>
        <v>#VALUE!</v>
      </c>
      <c r="DQ47" t="e">
        <f>AND('2015'!AB185,"AAAAAH/t8Hg=")</f>
        <v>#VALUE!</v>
      </c>
      <c r="DR47" t="e">
        <f>AND('2015'!AC185,"AAAAAH/t8Hk=")</f>
        <v>#VALUE!</v>
      </c>
      <c r="DS47" t="e">
        <f>AND('2015'!AD185,"AAAAAH/t8Ho=")</f>
        <v>#VALUE!</v>
      </c>
      <c r="DT47" t="e">
        <f>AND('2015'!AE185,"AAAAAH/t8Hs=")</f>
        <v>#VALUE!</v>
      </c>
      <c r="DU47" t="e">
        <f>AND('2015'!AF185,"AAAAAH/t8Hw=")</f>
        <v>#VALUE!</v>
      </c>
      <c r="DV47" t="e">
        <f>AND('2015'!AG185,"AAAAAH/t8H0=")</f>
        <v>#VALUE!</v>
      </c>
      <c r="DW47" t="e">
        <f>AND('2015'!AH185,"AAAAAH/t8H4=")</f>
        <v>#VALUE!</v>
      </c>
      <c r="DX47" t="e">
        <f>AND('2015'!AI185,"AAAAAH/t8H8=")</f>
        <v>#VALUE!</v>
      </c>
      <c r="DY47" t="e">
        <f>AND('2015'!AJ185,"AAAAAH/t8IA=")</f>
        <v>#VALUE!</v>
      </c>
      <c r="DZ47" t="e">
        <f>AND('2015'!AK185,"AAAAAH/t8IE=")</f>
        <v>#VALUE!</v>
      </c>
      <c r="EA47" t="e">
        <f>AND('2015'!AL185,"AAAAAH/t8II=")</f>
        <v>#VALUE!</v>
      </c>
      <c r="EB47" t="e">
        <f>AND('2015'!AM185,"AAAAAH/t8IM=")</f>
        <v>#VALUE!</v>
      </c>
      <c r="EC47" t="e">
        <f>AND('2015'!AN185,"AAAAAH/t8IQ=")</f>
        <v>#VALUE!</v>
      </c>
      <c r="ED47" t="e">
        <f>AND('2015'!AO185,"AAAAAH/t8IU=")</f>
        <v>#VALUE!</v>
      </c>
      <c r="EE47" t="e">
        <f>AND('2015'!AP185,"AAAAAH/t8IY=")</f>
        <v>#VALUE!</v>
      </c>
      <c r="EF47" t="e">
        <f>AND('2015'!AQ185,"AAAAAH/t8Ic=")</f>
        <v>#VALUE!</v>
      </c>
      <c r="EG47" t="e">
        <f>AND('2015'!AR185,"AAAAAH/t8Ig=")</f>
        <v>#VALUE!</v>
      </c>
      <c r="EH47" t="e">
        <f>AND('2015'!AS185,"AAAAAH/t8Ik=")</f>
        <v>#VALUE!</v>
      </c>
      <c r="EI47" t="e">
        <f>AND('2015'!AT185,"AAAAAH/t8Io=")</f>
        <v>#VALUE!</v>
      </c>
      <c r="EJ47" t="e">
        <f>AND('2015'!#REF!,"AAAAAH/t8Is=")</f>
        <v>#REF!</v>
      </c>
      <c r="EK47" t="e">
        <f>AND('2015'!AU185,"AAAAAH/t8Iw=")</f>
        <v>#VALUE!</v>
      </c>
      <c r="EL47" t="e">
        <f>AND('2015'!AV185,"AAAAAH/t8I0=")</f>
        <v>#VALUE!</v>
      </c>
      <c r="EM47" t="e">
        <f>AND('2015'!AW185,"AAAAAH/t8I4=")</f>
        <v>#VALUE!</v>
      </c>
      <c r="EN47" t="e">
        <f>AND('2015'!AX185,"AAAAAH/t8I8=")</f>
        <v>#VALUE!</v>
      </c>
      <c r="EO47" t="e">
        <f>AND('2015'!AY185,"AAAAAH/t8JA=")</f>
        <v>#VALUE!</v>
      </c>
      <c r="EP47" t="e">
        <f>AND('2015'!AZ185,"AAAAAH/t8JE=")</f>
        <v>#VALUE!</v>
      </c>
      <c r="EQ47" t="e">
        <f>AND('2015'!BA185,"AAAAAH/t8JI=")</f>
        <v>#VALUE!</v>
      </c>
      <c r="ER47" t="e">
        <f>AND('2015'!BB185,"AAAAAH/t8JM=")</f>
        <v>#VALUE!</v>
      </c>
      <c r="ES47" t="e">
        <f>AND('2015'!BC185,"AAAAAH/t8JQ=")</f>
        <v>#VALUE!</v>
      </c>
      <c r="ET47" t="e">
        <f>AND('2015'!BD185,"AAAAAH/t8JU=")</f>
        <v>#VALUE!</v>
      </c>
      <c r="EU47" t="e">
        <f>AND('2015'!BE185,"AAAAAH/t8JY=")</f>
        <v>#VALUE!</v>
      </c>
      <c r="EV47" t="e">
        <f>AND('2015'!BF185,"AAAAAH/t8Jc=")</f>
        <v>#VALUE!</v>
      </c>
      <c r="EW47" t="e">
        <f>AND('2015'!BG185,"AAAAAH/t8Jg=")</f>
        <v>#VALUE!</v>
      </c>
      <c r="EX47" t="e">
        <f>AND('2015'!BH185,"AAAAAH/t8Jk=")</f>
        <v>#VALUE!</v>
      </c>
      <c r="EY47" t="e">
        <f>AND('2015'!BI185,"AAAAAH/t8Jo=")</f>
        <v>#VALUE!</v>
      </c>
      <c r="EZ47" t="e">
        <f>AND('2015'!#REF!,"AAAAAH/t8Js=")</f>
        <v>#REF!</v>
      </c>
      <c r="FA47" t="e">
        <f>AND('2015'!BJ185,"AAAAAH/t8Jw=")</f>
        <v>#VALUE!</v>
      </c>
      <c r="FB47" t="e">
        <f>AND('2015'!BK185,"AAAAAH/t8J0=")</f>
        <v>#VALUE!</v>
      </c>
      <c r="FC47" t="e">
        <f>AND('2015'!BL185,"AAAAAH/t8J4=")</f>
        <v>#VALUE!</v>
      </c>
      <c r="FD47" t="e">
        <f>AND('2015'!BM185,"AAAAAH/t8J8=")</f>
        <v>#VALUE!</v>
      </c>
      <c r="FE47" t="e">
        <f>AND('2015'!BY185,"AAAAAH/t8KA=")</f>
        <v>#VALUE!</v>
      </c>
      <c r="FF47">
        <f>IF('2015'!186:186,"AAAAAH/t8KE=",0)</f>
        <v>0</v>
      </c>
      <c r="FG47" t="e">
        <f>AND('2015'!A186,"AAAAAH/t8KI=")</f>
        <v>#VALUE!</v>
      </c>
      <c r="FH47" t="e">
        <f>AND('2015'!C186,"AAAAAH/t8KM=")</f>
        <v>#VALUE!</v>
      </c>
      <c r="FI47" t="e">
        <f>AND('2015'!#REF!,"AAAAAH/t8KQ=")</f>
        <v>#REF!</v>
      </c>
      <c r="FJ47" t="e">
        <f>AND('2015'!D186,"AAAAAH/t8KU=")</f>
        <v>#VALUE!</v>
      </c>
      <c r="FK47" t="e">
        <f>AND('2015'!E186,"AAAAAH/t8KY=")</f>
        <v>#VALUE!</v>
      </c>
      <c r="FL47" t="e">
        <f>AND('2015'!F186,"AAAAAH/t8Kc=")</f>
        <v>#VALUE!</v>
      </c>
      <c r="FM47" t="e">
        <f>AND('2015'!G186,"AAAAAH/t8Kg=")</f>
        <v>#VALUE!</v>
      </c>
      <c r="FN47" t="e">
        <f>AND('2015'!H186,"AAAAAH/t8Kk=")</f>
        <v>#VALUE!</v>
      </c>
      <c r="FO47" t="e">
        <f>AND('2015'!I186,"AAAAAH/t8Ko=")</f>
        <v>#VALUE!</v>
      </c>
      <c r="FP47" t="e">
        <f>AND('2015'!J186,"AAAAAH/t8Ks=")</f>
        <v>#VALUE!</v>
      </c>
      <c r="FQ47" t="e">
        <f>AND('2015'!K186,"AAAAAH/t8Kw=")</f>
        <v>#VALUE!</v>
      </c>
      <c r="FR47" t="e">
        <f>AND('2015'!L186,"AAAAAH/t8K0=")</f>
        <v>#VALUE!</v>
      </c>
      <c r="FS47" t="e">
        <f>AND('2015'!M186,"AAAAAH/t8K4=")</f>
        <v>#VALUE!</v>
      </c>
      <c r="FT47" t="e">
        <f>AND('2015'!N186,"AAAAAH/t8K8=")</f>
        <v>#VALUE!</v>
      </c>
      <c r="FU47" t="e">
        <f>AND('2015'!O186,"AAAAAH/t8LA=")</f>
        <v>#VALUE!</v>
      </c>
      <c r="FV47" t="e">
        <f>AND('2015'!P186,"AAAAAH/t8LE=")</f>
        <v>#VALUE!</v>
      </c>
      <c r="FW47" t="e">
        <f>AND('2015'!Q186,"AAAAAH/t8LI=")</f>
        <v>#VALUE!</v>
      </c>
      <c r="FX47" t="e">
        <f>AND('2015'!R186,"AAAAAH/t8LM=")</f>
        <v>#VALUE!</v>
      </c>
      <c r="FY47" t="e">
        <f>AND('2015'!S186,"AAAAAH/t8LQ=")</f>
        <v>#VALUE!</v>
      </c>
      <c r="FZ47" t="e">
        <f>AND('2015'!T186,"AAAAAH/t8LU=")</f>
        <v>#VALUE!</v>
      </c>
      <c r="GA47" t="e">
        <f>AND('2015'!U186,"AAAAAH/t8LY=")</f>
        <v>#VALUE!</v>
      </c>
      <c r="GB47" t="e">
        <f>AND('2015'!V186,"AAAAAH/t8Lc=")</f>
        <v>#VALUE!</v>
      </c>
      <c r="GC47" t="e">
        <f>AND('2015'!W186,"AAAAAH/t8Lg=")</f>
        <v>#VALUE!</v>
      </c>
      <c r="GD47" t="e">
        <f>AND('2015'!X186,"AAAAAH/t8Lk=")</f>
        <v>#VALUE!</v>
      </c>
      <c r="GE47" t="e">
        <f>AND('2015'!Y186,"AAAAAH/t8Lo=")</f>
        <v>#VALUE!</v>
      </c>
      <c r="GF47" t="e">
        <f>AND('2015'!Z186,"AAAAAH/t8Ls=")</f>
        <v>#VALUE!</v>
      </c>
      <c r="GG47" t="e">
        <f>AND('2015'!AA186,"AAAAAH/t8Lw=")</f>
        <v>#VALUE!</v>
      </c>
      <c r="GH47" t="e">
        <f>AND('2015'!AB186,"AAAAAH/t8L0=")</f>
        <v>#VALUE!</v>
      </c>
      <c r="GI47" t="e">
        <f>AND('2015'!AC186,"AAAAAH/t8L4=")</f>
        <v>#VALUE!</v>
      </c>
      <c r="GJ47" t="e">
        <f>AND('2015'!AD186,"AAAAAH/t8L8=")</f>
        <v>#VALUE!</v>
      </c>
      <c r="GK47" t="e">
        <f>AND('2015'!AE186,"AAAAAH/t8MA=")</f>
        <v>#VALUE!</v>
      </c>
      <c r="GL47" t="e">
        <f>AND('2015'!AF186,"AAAAAH/t8ME=")</f>
        <v>#VALUE!</v>
      </c>
      <c r="GM47" t="e">
        <f>AND('2015'!AG186,"AAAAAH/t8MI=")</f>
        <v>#VALUE!</v>
      </c>
      <c r="GN47" t="e">
        <f>AND('2015'!AH186,"AAAAAH/t8MM=")</f>
        <v>#VALUE!</v>
      </c>
      <c r="GO47" t="e">
        <f>AND('2015'!AI186,"AAAAAH/t8MQ=")</f>
        <v>#VALUE!</v>
      </c>
      <c r="GP47" t="e">
        <f>AND('2015'!AJ186,"AAAAAH/t8MU=")</f>
        <v>#VALUE!</v>
      </c>
      <c r="GQ47" t="e">
        <f>AND('2015'!AK186,"AAAAAH/t8MY=")</f>
        <v>#VALUE!</v>
      </c>
      <c r="GR47" t="e">
        <f>AND('2015'!AL186,"AAAAAH/t8Mc=")</f>
        <v>#VALUE!</v>
      </c>
      <c r="GS47" t="e">
        <f>AND('2015'!AM186,"AAAAAH/t8Mg=")</f>
        <v>#VALUE!</v>
      </c>
      <c r="GT47" t="e">
        <f>AND('2015'!AN186,"AAAAAH/t8Mk=")</f>
        <v>#VALUE!</v>
      </c>
      <c r="GU47" t="e">
        <f>AND('2015'!AO186,"AAAAAH/t8Mo=")</f>
        <v>#VALUE!</v>
      </c>
      <c r="GV47" t="e">
        <f>AND('2015'!AP186,"AAAAAH/t8Ms=")</f>
        <v>#VALUE!</v>
      </c>
      <c r="GW47" t="e">
        <f>AND('2015'!AQ186,"AAAAAH/t8Mw=")</f>
        <v>#VALUE!</v>
      </c>
      <c r="GX47" t="e">
        <f>AND('2015'!AR186,"AAAAAH/t8M0=")</f>
        <v>#VALUE!</v>
      </c>
      <c r="GY47" t="e">
        <f>AND('2015'!AS186,"AAAAAH/t8M4=")</f>
        <v>#VALUE!</v>
      </c>
      <c r="GZ47" t="e">
        <f>AND('2015'!AT186,"AAAAAH/t8M8=")</f>
        <v>#VALUE!</v>
      </c>
      <c r="HA47" t="e">
        <f>AND('2015'!#REF!,"AAAAAH/t8NA=")</f>
        <v>#REF!</v>
      </c>
      <c r="HB47" t="e">
        <f>AND('2015'!AU186,"AAAAAH/t8NE=")</f>
        <v>#VALUE!</v>
      </c>
      <c r="HC47" t="e">
        <f>AND('2015'!AV186,"AAAAAH/t8NI=")</f>
        <v>#VALUE!</v>
      </c>
      <c r="HD47" t="e">
        <f>AND('2015'!AW186,"AAAAAH/t8NM=")</f>
        <v>#VALUE!</v>
      </c>
      <c r="HE47" t="e">
        <f>AND('2015'!AX186,"AAAAAH/t8NQ=")</f>
        <v>#VALUE!</v>
      </c>
      <c r="HF47" t="e">
        <f>AND('2015'!AY186,"AAAAAH/t8NU=")</f>
        <v>#VALUE!</v>
      </c>
      <c r="HG47" t="e">
        <f>AND('2015'!AZ186,"AAAAAH/t8NY=")</f>
        <v>#VALUE!</v>
      </c>
      <c r="HH47" t="e">
        <f>AND('2015'!BA186,"AAAAAH/t8Nc=")</f>
        <v>#VALUE!</v>
      </c>
      <c r="HI47" t="e">
        <f>AND('2015'!BB186,"AAAAAH/t8Ng=")</f>
        <v>#VALUE!</v>
      </c>
      <c r="HJ47" t="e">
        <f>AND('2015'!BC186,"AAAAAH/t8Nk=")</f>
        <v>#VALUE!</v>
      </c>
      <c r="HK47" t="e">
        <f>AND('2015'!BD186,"AAAAAH/t8No=")</f>
        <v>#VALUE!</v>
      </c>
      <c r="HL47" t="e">
        <f>AND('2015'!BE186,"AAAAAH/t8Ns=")</f>
        <v>#VALUE!</v>
      </c>
      <c r="HM47" t="e">
        <f>AND('2015'!BF186,"AAAAAH/t8Nw=")</f>
        <v>#VALUE!</v>
      </c>
      <c r="HN47" t="e">
        <f>AND('2015'!BG186,"AAAAAH/t8N0=")</f>
        <v>#VALUE!</v>
      </c>
      <c r="HO47" t="e">
        <f>AND('2015'!BH186,"AAAAAH/t8N4=")</f>
        <v>#VALUE!</v>
      </c>
      <c r="HP47" t="e">
        <f>AND('2015'!BI186,"AAAAAH/t8N8=")</f>
        <v>#VALUE!</v>
      </c>
      <c r="HQ47" t="e">
        <f>AND('2015'!#REF!,"AAAAAH/t8OA=")</f>
        <v>#REF!</v>
      </c>
      <c r="HR47" t="e">
        <f>AND('2015'!BJ186,"AAAAAH/t8OE=")</f>
        <v>#VALUE!</v>
      </c>
      <c r="HS47" t="e">
        <f>AND('2015'!BK186,"AAAAAH/t8OI=")</f>
        <v>#VALUE!</v>
      </c>
      <c r="HT47" t="e">
        <f>AND('2015'!BL186,"AAAAAH/t8OM=")</f>
        <v>#VALUE!</v>
      </c>
      <c r="HU47" t="e">
        <f>AND('2015'!BM186,"AAAAAH/t8OQ=")</f>
        <v>#VALUE!</v>
      </c>
      <c r="HV47" t="e">
        <f>AND('2015'!BY186,"AAAAAH/t8OU=")</f>
        <v>#VALUE!</v>
      </c>
      <c r="HW47">
        <f>IF('2015'!31:31,"AAAAAH/t8OY=",0)</f>
        <v>0</v>
      </c>
      <c r="HX47" t="e">
        <f>AND('2015'!A31,"AAAAAH/t8Oc=")</f>
        <v>#VALUE!</v>
      </c>
      <c r="HY47" t="e">
        <f>AND('2015'!C31,"AAAAAH/t8Og=")</f>
        <v>#VALUE!</v>
      </c>
      <c r="HZ47" t="e">
        <f>AND('2015'!#REF!,"AAAAAH/t8Ok=")</f>
        <v>#REF!</v>
      </c>
      <c r="IA47" t="e">
        <f>AND('2015'!D31,"AAAAAH/t8Oo=")</f>
        <v>#VALUE!</v>
      </c>
      <c r="IB47" t="e">
        <f>AND('2015'!E31,"AAAAAH/t8Os=")</f>
        <v>#VALUE!</v>
      </c>
      <c r="IC47" t="e">
        <f>AND('2015'!F31,"AAAAAH/t8Ow=")</f>
        <v>#VALUE!</v>
      </c>
      <c r="ID47" t="e">
        <f>AND('2015'!G31,"AAAAAH/t8O0=")</f>
        <v>#VALUE!</v>
      </c>
      <c r="IE47" t="e">
        <f>AND('2015'!H31,"AAAAAH/t8O4=")</f>
        <v>#VALUE!</v>
      </c>
      <c r="IF47" t="e">
        <f>AND('2015'!I31,"AAAAAH/t8O8=")</f>
        <v>#VALUE!</v>
      </c>
      <c r="IG47" t="e">
        <f>AND('2015'!J31,"AAAAAH/t8PA=")</f>
        <v>#VALUE!</v>
      </c>
      <c r="IH47" t="e">
        <f>AND('2015'!K31,"AAAAAH/t8PE=")</f>
        <v>#VALUE!</v>
      </c>
      <c r="II47" t="e">
        <f>AND('2015'!L31,"AAAAAH/t8PI=")</f>
        <v>#VALUE!</v>
      </c>
      <c r="IJ47" t="e">
        <f>AND('2015'!M31,"AAAAAH/t8PM=")</f>
        <v>#VALUE!</v>
      </c>
      <c r="IK47" t="e">
        <f>AND('2015'!N31,"AAAAAH/t8PQ=")</f>
        <v>#VALUE!</v>
      </c>
      <c r="IL47" t="e">
        <f>AND('2015'!O31,"AAAAAH/t8PU=")</f>
        <v>#VALUE!</v>
      </c>
      <c r="IM47" t="e">
        <f>AND('2015'!P31,"AAAAAH/t8PY=")</f>
        <v>#VALUE!</v>
      </c>
      <c r="IN47" t="e">
        <f>AND('2015'!Q31,"AAAAAH/t8Pc=")</f>
        <v>#VALUE!</v>
      </c>
      <c r="IO47" t="e">
        <f>AND('2015'!R31,"AAAAAH/t8Pg=")</f>
        <v>#VALUE!</v>
      </c>
      <c r="IP47" t="e">
        <f>AND('2015'!S31,"AAAAAH/t8Pk=")</f>
        <v>#VALUE!</v>
      </c>
      <c r="IQ47" t="e">
        <f>AND('2015'!T31,"AAAAAH/t8Po=")</f>
        <v>#VALUE!</v>
      </c>
      <c r="IR47" t="e">
        <f>AND('2015'!U31,"AAAAAH/t8Ps=")</f>
        <v>#VALUE!</v>
      </c>
      <c r="IS47" t="e">
        <f>AND('2015'!V31,"AAAAAH/t8Pw=")</f>
        <v>#VALUE!</v>
      </c>
      <c r="IT47" t="e">
        <f>AND('2015'!W31,"AAAAAH/t8P0=")</f>
        <v>#VALUE!</v>
      </c>
      <c r="IU47" t="e">
        <f>AND('2015'!X31,"AAAAAH/t8P4=")</f>
        <v>#VALUE!</v>
      </c>
      <c r="IV47" t="e">
        <f>AND('2015'!Y31,"AAAAAH/t8P8=")</f>
        <v>#VALUE!</v>
      </c>
    </row>
    <row r="48" spans="1:256" x14ac:dyDescent="0.25">
      <c r="A48" t="e">
        <f>AND('2015'!Z31,"AAAAAD/7bwA=")</f>
        <v>#VALUE!</v>
      </c>
      <c r="B48" t="e">
        <f>AND('2015'!AA31,"AAAAAD/7bwE=")</f>
        <v>#VALUE!</v>
      </c>
      <c r="C48" t="e">
        <f>AND('2015'!AB31,"AAAAAD/7bwI=")</f>
        <v>#VALUE!</v>
      </c>
      <c r="D48" t="e">
        <f>AND('2015'!AC31,"AAAAAD/7bwM=")</f>
        <v>#VALUE!</v>
      </c>
      <c r="E48" t="e">
        <f>AND('2015'!AD31,"AAAAAD/7bwQ=")</f>
        <v>#VALUE!</v>
      </c>
      <c r="F48" t="e">
        <f>AND('2015'!AE31,"AAAAAD/7bwU=")</f>
        <v>#VALUE!</v>
      </c>
      <c r="G48" t="e">
        <f>AND('2015'!AF31,"AAAAAD/7bwY=")</f>
        <v>#VALUE!</v>
      </c>
      <c r="H48" t="e">
        <f>AND('2015'!AG31,"AAAAAD/7bwc=")</f>
        <v>#VALUE!</v>
      </c>
      <c r="I48" t="e">
        <f>AND('2015'!AH31,"AAAAAD/7bwg=")</f>
        <v>#VALUE!</v>
      </c>
      <c r="J48" t="e">
        <f>AND('2015'!AI31,"AAAAAD/7bwk=")</f>
        <v>#VALUE!</v>
      </c>
      <c r="K48" t="e">
        <f>AND('2015'!AJ31,"AAAAAD/7bwo=")</f>
        <v>#VALUE!</v>
      </c>
      <c r="L48" t="e">
        <f>AND('2015'!AK31,"AAAAAD/7bws=")</f>
        <v>#VALUE!</v>
      </c>
      <c r="M48" t="e">
        <f>AND('2015'!AL31,"AAAAAD/7bww=")</f>
        <v>#VALUE!</v>
      </c>
      <c r="N48" t="e">
        <f>AND('2015'!AM31,"AAAAAD/7bw0=")</f>
        <v>#VALUE!</v>
      </c>
      <c r="O48" t="e">
        <f>AND('2015'!AN31,"AAAAAD/7bw4=")</f>
        <v>#VALUE!</v>
      </c>
      <c r="P48" t="e">
        <f>AND('2015'!AO31,"AAAAAD/7bw8=")</f>
        <v>#VALUE!</v>
      </c>
      <c r="Q48" t="e">
        <f>AND('2015'!AP31,"AAAAAD/7bxA=")</f>
        <v>#VALUE!</v>
      </c>
      <c r="R48" t="e">
        <f>AND('2015'!AQ31,"AAAAAD/7bxE=")</f>
        <v>#VALUE!</v>
      </c>
      <c r="S48" t="e">
        <f>AND('2015'!AR31,"AAAAAD/7bxI=")</f>
        <v>#VALUE!</v>
      </c>
      <c r="T48" t="e">
        <f>AND('2015'!AS31,"AAAAAD/7bxM=")</f>
        <v>#VALUE!</v>
      </c>
      <c r="U48" t="e">
        <f>AND('2015'!AT31,"AAAAAD/7bxQ=")</f>
        <v>#VALUE!</v>
      </c>
      <c r="V48" t="e">
        <f>AND('2015'!#REF!,"AAAAAD/7bxU=")</f>
        <v>#REF!</v>
      </c>
      <c r="W48" t="e">
        <f>AND('2015'!AU31,"AAAAAD/7bxY=")</f>
        <v>#VALUE!</v>
      </c>
      <c r="X48" t="e">
        <f>AND('2015'!AV31,"AAAAAD/7bxc=")</f>
        <v>#VALUE!</v>
      </c>
      <c r="Y48" t="e">
        <f>AND('2015'!AW31,"AAAAAD/7bxg=")</f>
        <v>#VALUE!</v>
      </c>
      <c r="Z48" t="e">
        <f>AND('2015'!AX31,"AAAAAD/7bxk=")</f>
        <v>#VALUE!</v>
      </c>
      <c r="AA48" t="e">
        <f>AND('2015'!AY31,"AAAAAD/7bxo=")</f>
        <v>#VALUE!</v>
      </c>
      <c r="AB48" t="e">
        <f>AND('2015'!AZ31,"AAAAAD/7bxs=")</f>
        <v>#VALUE!</v>
      </c>
      <c r="AC48" t="e">
        <f>AND('2015'!BA31,"AAAAAD/7bxw=")</f>
        <v>#VALUE!</v>
      </c>
      <c r="AD48" t="e">
        <f>AND('2015'!BB31,"AAAAAD/7bx0=")</f>
        <v>#VALUE!</v>
      </c>
      <c r="AE48" t="e">
        <f>AND('2015'!BC31,"AAAAAD/7bx4=")</f>
        <v>#VALUE!</v>
      </c>
      <c r="AF48" t="e">
        <f>AND('2015'!BD31,"AAAAAD/7bx8=")</f>
        <v>#VALUE!</v>
      </c>
      <c r="AG48" t="e">
        <f>AND('2015'!BE31,"AAAAAD/7byA=")</f>
        <v>#VALUE!</v>
      </c>
      <c r="AH48" t="e">
        <f>AND('2015'!BF31,"AAAAAD/7byE=")</f>
        <v>#VALUE!</v>
      </c>
      <c r="AI48" t="e">
        <f>AND('2015'!BG31,"AAAAAD/7byI=")</f>
        <v>#VALUE!</v>
      </c>
      <c r="AJ48" t="e">
        <f>AND('2015'!BH31,"AAAAAD/7byM=")</f>
        <v>#VALUE!</v>
      </c>
      <c r="AK48" t="e">
        <f>AND('2015'!BI31,"AAAAAD/7byQ=")</f>
        <v>#VALUE!</v>
      </c>
      <c r="AL48" t="e">
        <f>AND('2015'!#REF!,"AAAAAD/7byU=")</f>
        <v>#REF!</v>
      </c>
      <c r="AM48" t="e">
        <f>AND('2015'!BJ31,"AAAAAD/7byY=")</f>
        <v>#VALUE!</v>
      </c>
      <c r="AN48" t="e">
        <f>AND('2015'!BK31,"AAAAAD/7byc=")</f>
        <v>#VALUE!</v>
      </c>
      <c r="AO48" t="e">
        <f>AND('2015'!BL31,"AAAAAD/7byg=")</f>
        <v>#VALUE!</v>
      </c>
      <c r="AP48" t="e">
        <f>AND('2015'!BM31,"AAAAAD/7byk=")</f>
        <v>#VALUE!</v>
      </c>
      <c r="AQ48" t="e">
        <f>AND('2015'!BY31,"AAAAAD/7byo=")</f>
        <v>#VALUE!</v>
      </c>
      <c r="AR48">
        <f>IF('2015'!188:188,"AAAAAD/7bys=",0)</f>
        <v>0</v>
      </c>
      <c r="AS48" t="e">
        <f>AND('2015'!A188,"AAAAAD/7byw=")</f>
        <v>#VALUE!</v>
      </c>
      <c r="AT48" t="e">
        <f>AND('2015'!C188,"AAAAAD/7by0=")</f>
        <v>#VALUE!</v>
      </c>
      <c r="AU48" t="e">
        <f>AND('2015'!D188,"AAAAAD/7by4=")</f>
        <v>#VALUE!</v>
      </c>
      <c r="AV48" t="e">
        <f>AND('2015'!E188,"AAAAAD/7by8=")</f>
        <v>#VALUE!</v>
      </c>
      <c r="AW48" t="e">
        <f>AND('2015'!F188,"AAAAAD/7bzA=")</f>
        <v>#VALUE!</v>
      </c>
      <c r="AX48" t="e">
        <f>AND('2015'!G188,"AAAAAD/7bzE=")</f>
        <v>#VALUE!</v>
      </c>
      <c r="AY48" t="e">
        <f>AND('2015'!#REF!,"AAAAAD/7bzI=")</f>
        <v>#REF!</v>
      </c>
      <c r="AZ48" t="e">
        <f>AND('2015'!H188,"AAAAAD/7bzM=")</f>
        <v>#VALUE!</v>
      </c>
      <c r="BA48" t="e">
        <f>AND('2015'!I188,"AAAAAD/7bzQ=")</f>
        <v>#VALUE!</v>
      </c>
      <c r="BB48" t="e">
        <f>AND('2015'!J188,"AAAAAD/7bzU=")</f>
        <v>#VALUE!</v>
      </c>
      <c r="BC48" t="e">
        <f>AND('2015'!K188,"AAAAAD/7bzY=")</f>
        <v>#VALUE!</v>
      </c>
      <c r="BD48" t="e">
        <f>AND('2015'!L188,"AAAAAD/7bzc=")</f>
        <v>#VALUE!</v>
      </c>
      <c r="BE48" t="e">
        <f>AND('2015'!M188,"AAAAAD/7bzg=")</f>
        <v>#VALUE!</v>
      </c>
      <c r="BF48" t="e">
        <f>AND('2015'!N188,"AAAAAD/7bzk=")</f>
        <v>#VALUE!</v>
      </c>
      <c r="BG48" t="e">
        <f>AND('2015'!O188,"AAAAAD/7bzo=")</f>
        <v>#VALUE!</v>
      </c>
      <c r="BH48" t="e">
        <f>AND('2015'!P188,"AAAAAD/7bzs=")</f>
        <v>#VALUE!</v>
      </c>
      <c r="BI48" t="e">
        <f>AND('2015'!Q188,"AAAAAD/7bzw=")</f>
        <v>#VALUE!</v>
      </c>
      <c r="BJ48" t="e">
        <f>AND('2015'!R188,"AAAAAD/7bz0=")</f>
        <v>#VALUE!</v>
      </c>
      <c r="BK48" t="e">
        <f>AND('2015'!S188,"AAAAAD/7bz4=")</f>
        <v>#VALUE!</v>
      </c>
      <c r="BL48" t="e">
        <f>AND('2015'!T188,"AAAAAD/7bz8=")</f>
        <v>#VALUE!</v>
      </c>
      <c r="BM48" t="e">
        <f>AND('2015'!U188,"AAAAAD/7b0A=")</f>
        <v>#VALUE!</v>
      </c>
      <c r="BN48" t="e">
        <f>AND('2015'!V188,"AAAAAD/7b0E=")</f>
        <v>#VALUE!</v>
      </c>
      <c r="BO48" t="e">
        <f>AND('2015'!W188,"AAAAAD/7b0I=")</f>
        <v>#VALUE!</v>
      </c>
      <c r="BP48" t="e">
        <f>AND('2015'!X188,"AAAAAD/7b0M=")</f>
        <v>#VALUE!</v>
      </c>
      <c r="BQ48" t="e">
        <f>AND('2015'!Y188,"AAAAAD/7b0Q=")</f>
        <v>#VALUE!</v>
      </c>
      <c r="BR48" t="e">
        <f>AND('2015'!Z188,"AAAAAD/7b0U=")</f>
        <v>#VALUE!</v>
      </c>
      <c r="BS48" t="e">
        <f>AND('2015'!AA188,"AAAAAD/7b0Y=")</f>
        <v>#VALUE!</v>
      </c>
      <c r="BT48" t="e">
        <f>AND('2015'!AB188,"AAAAAD/7b0c=")</f>
        <v>#VALUE!</v>
      </c>
      <c r="BU48" t="e">
        <f>AND('2015'!AC188,"AAAAAD/7b0g=")</f>
        <v>#VALUE!</v>
      </c>
      <c r="BV48" t="e">
        <f>AND('2015'!AD188,"AAAAAD/7b0k=")</f>
        <v>#VALUE!</v>
      </c>
      <c r="BW48" t="e">
        <f>AND('2015'!AE188,"AAAAAD/7b0o=")</f>
        <v>#VALUE!</v>
      </c>
      <c r="BX48" t="e">
        <f>AND('2015'!AF188,"AAAAAD/7b0s=")</f>
        <v>#VALUE!</v>
      </c>
      <c r="BY48" t="e">
        <f>AND('2015'!AG188,"AAAAAD/7b0w=")</f>
        <v>#VALUE!</v>
      </c>
      <c r="BZ48" t="e">
        <f>AND('2015'!AH188,"AAAAAD/7b00=")</f>
        <v>#VALUE!</v>
      </c>
      <c r="CA48" t="e">
        <f>AND('2015'!AI188,"AAAAAD/7b04=")</f>
        <v>#VALUE!</v>
      </c>
      <c r="CB48" t="e">
        <f>AND('2015'!AJ188,"AAAAAD/7b08=")</f>
        <v>#VALUE!</v>
      </c>
      <c r="CC48" t="e">
        <f>AND('2015'!AK188,"AAAAAD/7b1A=")</f>
        <v>#VALUE!</v>
      </c>
      <c r="CD48" t="e">
        <f>AND('2015'!AL188,"AAAAAD/7b1E=")</f>
        <v>#VALUE!</v>
      </c>
      <c r="CE48" t="e">
        <f>AND('2015'!AM188,"AAAAAD/7b1I=")</f>
        <v>#VALUE!</v>
      </c>
      <c r="CF48" t="e">
        <f>AND('2015'!AN188,"AAAAAD/7b1M=")</f>
        <v>#VALUE!</v>
      </c>
      <c r="CG48" t="e">
        <f>AND('2015'!AO188,"AAAAAD/7b1Q=")</f>
        <v>#VALUE!</v>
      </c>
      <c r="CH48" t="e">
        <f>AND('2015'!AP188,"AAAAAD/7b1U=")</f>
        <v>#VALUE!</v>
      </c>
      <c r="CI48" t="e">
        <f>AND('2015'!AQ188,"AAAAAD/7b1Y=")</f>
        <v>#VALUE!</v>
      </c>
      <c r="CJ48" t="e">
        <f>AND('2015'!AR188,"AAAAAD/7b1c=")</f>
        <v>#VALUE!</v>
      </c>
      <c r="CK48" t="e">
        <f>AND('2015'!AS188,"AAAAAD/7b1g=")</f>
        <v>#VALUE!</v>
      </c>
      <c r="CL48" t="e">
        <f>AND('2015'!AT188,"AAAAAD/7b1k=")</f>
        <v>#VALUE!</v>
      </c>
      <c r="CM48" t="e">
        <f>AND('2015'!#REF!,"AAAAAD/7b1o=")</f>
        <v>#REF!</v>
      </c>
      <c r="CN48" t="e">
        <f>AND('2015'!AU188,"AAAAAD/7b1s=")</f>
        <v>#VALUE!</v>
      </c>
      <c r="CO48" t="e">
        <f>AND('2015'!AV188,"AAAAAD/7b1w=")</f>
        <v>#VALUE!</v>
      </c>
      <c r="CP48" t="e">
        <f>AND('2015'!AW188,"AAAAAD/7b10=")</f>
        <v>#VALUE!</v>
      </c>
      <c r="CQ48" t="e">
        <f>AND('2015'!AX188,"AAAAAD/7b14=")</f>
        <v>#VALUE!</v>
      </c>
      <c r="CR48" t="e">
        <f>AND('2015'!AY188,"AAAAAD/7b18=")</f>
        <v>#VALUE!</v>
      </c>
      <c r="CS48" t="e">
        <f>AND('2015'!AZ188,"AAAAAD/7b2A=")</f>
        <v>#VALUE!</v>
      </c>
      <c r="CT48" t="e">
        <f>AND('2015'!BA188,"AAAAAD/7b2E=")</f>
        <v>#VALUE!</v>
      </c>
      <c r="CU48" t="e">
        <f>AND('2015'!BB188,"AAAAAD/7b2I=")</f>
        <v>#VALUE!</v>
      </c>
      <c r="CV48" t="e">
        <f>AND('2015'!BC188,"AAAAAD/7b2M=")</f>
        <v>#VALUE!</v>
      </c>
      <c r="CW48" t="e">
        <f>AND('2015'!BD188,"AAAAAD/7b2Q=")</f>
        <v>#VALUE!</v>
      </c>
      <c r="CX48" t="e">
        <f>AND('2015'!BE188,"AAAAAD/7b2U=")</f>
        <v>#VALUE!</v>
      </c>
      <c r="CY48" t="e">
        <f>AND('2015'!BF188,"AAAAAD/7b2Y=")</f>
        <v>#VALUE!</v>
      </c>
      <c r="CZ48" t="e">
        <f>AND('2015'!BG188,"AAAAAD/7b2c=")</f>
        <v>#VALUE!</v>
      </c>
      <c r="DA48" t="e">
        <f>AND('2015'!BH188,"AAAAAD/7b2g=")</f>
        <v>#VALUE!</v>
      </c>
      <c r="DB48" t="e">
        <f>AND('2015'!BI188,"AAAAAD/7b2k=")</f>
        <v>#VALUE!</v>
      </c>
      <c r="DC48" t="e">
        <f>AND('2015'!#REF!,"AAAAAD/7b2o=")</f>
        <v>#REF!</v>
      </c>
      <c r="DD48" t="e">
        <f>AND('2015'!BJ188,"AAAAAD/7b2s=")</f>
        <v>#VALUE!</v>
      </c>
      <c r="DE48" t="e">
        <f>AND('2015'!BK188,"AAAAAD/7b2w=")</f>
        <v>#VALUE!</v>
      </c>
      <c r="DF48" t="e">
        <f>AND('2015'!BL188,"AAAAAD/7b20=")</f>
        <v>#VALUE!</v>
      </c>
      <c r="DG48" t="e">
        <f>AND('2015'!BM188,"AAAAAD/7b24=")</f>
        <v>#VALUE!</v>
      </c>
      <c r="DH48" t="e">
        <f>AND('2015'!BY188,"AAAAAD/7b28=")</f>
        <v>#VALUE!</v>
      </c>
      <c r="DI48">
        <f>IF('2015'!190:190,"AAAAAD/7b3A=",0)</f>
        <v>0</v>
      </c>
      <c r="DJ48" t="e">
        <f>AND('2015'!A190,"AAAAAD/7b3E=")</f>
        <v>#VALUE!</v>
      </c>
      <c r="DK48" t="e">
        <f>AND('2015'!B190,"AAAAAD/7b3I=")</f>
        <v>#VALUE!</v>
      </c>
      <c r="DL48" t="e">
        <f>AND('2015'!C190,"AAAAAD/7b3M=")</f>
        <v>#VALUE!</v>
      </c>
      <c r="DM48" t="e">
        <f>AND('2015'!D190,"AAAAAD/7b3Q=")</f>
        <v>#VALUE!</v>
      </c>
      <c r="DN48" t="e">
        <f>AND('2015'!E190,"AAAAAD/7b3U=")</f>
        <v>#VALUE!</v>
      </c>
      <c r="DO48" t="e">
        <f>AND('2015'!F190,"AAAAAD/7b3Y=")</f>
        <v>#VALUE!</v>
      </c>
      <c r="DP48" t="e">
        <f>AND('2015'!G190,"AAAAAD/7b3c=")</f>
        <v>#VALUE!</v>
      </c>
      <c r="DQ48" t="e">
        <f>AND('2015'!H190,"AAAAAD/7b3g=")</f>
        <v>#VALUE!</v>
      </c>
      <c r="DR48" t="e">
        <f>AND('2015'!I190,"AAAAAD/7b3k=")</f>
        <v>#VALUE!</v>
      </c>
      <c r="DS48" t="e">
        <f>AND('2015'!J190,"AAAAAD/7b3o=")</f>
        <v>#VALUE!</v>
      </c>
      <c r="DT48" t="e">
        <f>AND('2015'!K190,"AAAAAD/7b3s=")</f>
        <v>#VALUE!</v>
      </c>
      <c r="DU48" t="e">
        <f>AND('2015'!L190,"AAAAAD/7b3w=")</f>
        <v>#VALUE!</v>
      </c>
      <c r="DV48" t="e">
        <f>AND('2015'!M190,"AAAAAD/7b30=")</f>
        <v>#VALUE!</v>
      </c>
      <c r="DW48" t="e">
        <f>AND('2015'!N190,"AAAAAD/7b34=")</f>
        <v>#VALUE!</v>
      </c>
      <c r="DX48" t="e">
        <f>AND('2015'!O190,"AAAAAD/7b38=")</f>
        <v>#VALUE!</v>
      </c>
      <c r="DY48" t="e">
        <f>AND('2015'!P190,"AAAAAD/7b4A=")</f>
        <v>#VALUE!</v>
      </c>
      <c r="DZ48" t="e">
        <f>AND('2015'!Q190,"AAAAAD/7b4E=")</f>
        <v>#VALUE!</v>
      </c>
      <c r="EA48" t="e">
        <f>AND('2015'!R190,"AAAAAD/7b4I=")</f>
        <v>#VALUE!</v>
      </c>
      <c r="EB48" t="e">
        <f>AND('2015'!S190,"AAAAAD/7b4M=")</f>
        <v>#VALUE!</v>
      </c>
      <c r="EC48" t="e">
        <f>AND('2015'!T190,"AAAAAD/7b4Q=")</f>
        <v>#VALUE!</v>
      </c>
      <c r="ED48" t="e">
        <f>AND('2015'!U190,"AAAAAD/7b4U=")</f>
        <v>#VALUE!</v>
      </c>
      <c r="EE48" t="e">
        <f>AND('2015'!V190,"AAAAAD/7b4Y=")</f>
        <v>#VALUE!</v>
      </c>
      <c r="EF48" t="e">
        <f>AND('2015'!W190,"AAAAAD/7b4c=")</f>
        <v>#VALUE!</v>
      </c>
      <c r="EG48" t="e">
        <f>AND('2015'!X190,"AAAAAD/7b4g=")</f>
        <v>#VALUE!</v>
      </c>
      <c r="EH48" t="e">
        <f>AND('2015'!Y190,"AAAAAD/7b4k=")</f>
        <v>#VALUE!</v>
      </c>
      <c r="EI48" t="e">
        <f>AND('2015'!Z190,"AAAAAD/7b4o=")</f>
        <v>#VALUE!</v>
      </c>
      <c r="EJ48" t="e">
        <f>AND('2015'!AA190,"AAAAAD/7b4s=")</f>
        <v>#VALUE!</v>
      </c>
      <c r="EK48" t="e">
        <f>AND('2015'!AB190,"AAAAAD/7b4w=")</f>
        <v>#VALUE!</v>
      </c>
      <c r="EL48" t="e">
        <f>AND('2015'!AC190,"AAAAAD/7b40=")</f>
        <v>#VALUE!</v>
      </c>
      <c r="EM48" t="e">
        <f>AND('2015'!AD190,"AAAAAD/7b44=")</f>
        <v>#VALUE!</v>
      </c>
      <c r="EN48" t="e">
        <f>AND('2015'!AE190,"AAAAAD/7b48=")</f>
        <v>#VALUE!</v>
      </c>
      <c r="EO48" t="e">
        <f>AND('2015'!AF190,"AAAAAD/7b5A=")</f>
        <v>#VALUE!</v>
      </c>
      <c r="EP48" t="e">
        <f>AND('2015'!AG190,"AAAAAD/7b5E=")</f>
        <v>#VALUE!</v>
      </c>
      <c r="EQ48" t="e">
        <f>AND('2015'!AH190,"AAAAAD/7b5I=")</f>
        <v>#VALUE!</v>
      </c>
      <c r="ER48" t="e">
        <f>AND('2015'!AI190,"AAAAAD/7b5M=")</f>
        <v>#VALUE!</v>
      </c>
      <c r="ES48" t="e">
        <f>AND('2015'!AJ190,"AAAAAD/7b5Q=")</f>
        <v>#VALUE!</v>
      </c>
      <c r="ET48" t="e">
        <f>AND('2015'!AK190,"AAAAAD/7b5U=")</f>
        <v>#VALUE!</v>
      </c>
      <c r="EU48" t="e">
        <f>AND('2015'!AL190,"AAAAAD/7b5Y=")</f>
        <v>#VALUE!</v>
      </c>
      <c r="EV48" t="e">
        <f>AND('2015'!AM190,"AAAAAD/7b5c=")</f>
        <v>#VALUE!</v>
      </c>
      <c r="EW48" t="e">
        <f>AND('2015'!AN190,"AAAAAD/7b5g=")</f>
        <v>#VALUE!</v>
      </c>
      <c r="EX48" t="e">
        <f>AND('2015'!AO190,"AAAAAD/7b5k=")</f>
        <v>#VALUE!</v>
      </c>
      <c r="EY48" t="e">
        <f>AND('2015'!AP190,"AAAAAD/7b5o=")</f>
        <v>#VALUE!</v>
      </c>
      <c r="EZ48" t="e">
        <f>AND('2015'!AQ190,"AAAAAD/7b5s=")</f>
        <v>#VALUE!</v>
      </c>
      <c r="FA48" t="e">
        <f>AND('2015'!AR190,"AAAAAD/7b5w=")</f>
        <v>#VALUE!</v>
      </c>
      <c r="FB48" t="e">
        <f>AND('2015'!AS190,"AAAAAD/7b50=")</f>
        <v>#VALUE!</v>
      </c>
      <c r="FC48" t="e">
        <f>AND('2015'!AT190,"AAAAAD/7b54=")</f>
        <v>#VALUE!</v>
      </c>
      <c r="FD48" t="e">
        <f>AND('2015'!#REF!,"AAAAAD/7b58=")</f>
        <v>#REF!</v>
      </c>
      <c r="FE48" t="e">
        <f>AND('2015'!AU190,"AAAAAD/7b6A=")</f>
        <v>#VALUE!</v>
      </c>
      <c r="FF48" t="e">
        <f>AND('2015'!AV190,"AAAAAD/7b6E=")</f>
        <v>#VALUE!</v>
      </c>
      <c r="FG48" t="e">
        <f>AND('2015'!AW190,"AAAAAD/7b6I=")</f>
        <v>#VALUE!</v>
      </c>
      <c r="FH48" t="e">
        <f>AND('2015'!AX190,"AAAAAD/7b6M=")</f>
        <v>#VALUE!</v>
      </c>
      <c r="FI48" t="e">
        <f>AND('2015'!AY190,"AAAAAD/7b6Q=")</f>
        <v>#VALUE!</v>
      </c>
      <c r="FJ48" t="e">
        <f>AND('2015'!AZ190,"AAAAAD/7b6U=")</f>
        <v>#VALUE!</v>
      </c>
      <c r="FK48" t="e">
        <f>AND('2015'!BA190,"AAAAAD/7b6Y=")</f>
        <v>#VALUE!</v>
      </c>
      <c r="FL48" t="e">
        <f>AND('2015'!BB190,"AAAAAD/7b6c=")</f>
        <v>#VALUE!</v>
      </c>
      <c r="FM48" t="e">
        <f>AND('2015'!BC190,"AAAAAD/7b6g=")</f>
        <v>#VALUE!</v>
      </c>
      <c r="FN48" t="e">
        <f>AND('2015'!BD190,"AAAAAD/7b6k=")</f>
        <v>#VALUE!</v>
      </c>
      <c r="FO48" t="e">
        <f>AND('2015'!BE190,"AAAAAD/7b6o=")</f>
        <v>#VALUE!</v>
      </c>
      <c r="FP48" t="e">
        <f>AND('2015'!BF190,"AAAAAD/7b6s=")</f>
        <v>#VALUE!</v>
      </c>
      <c r="FQ48" t="e">
        <f>AND('2015'!BG190,"AAAAAD/7b6w=")</f>
        <v>#VALUE!</v>
      </c>
      <c r="FR48" t="e">
        <f>AND('2015'!BH190,"AAAAAD/7b60=")</f>
        <v>#VALUE!</v>
      </c>
      <c r="FS48" t="e">
        <f>AND('2015'!BI190,"AAAAAD/7b64=")</f>
        <v>#VALUE!</v>
      </c>
      <c r="FT48" t="e">
        <f>AND('2015'!#REF!,"AAAAAD/7b68=")</f>
        <v>#REF!</v>
      </c>
      <c r="FU48" t="e">
        <f>AND('2015'!BJ190,"AAAAAD/7b7A=")</f>
        <v>#VALUE!</v>
      </c>
      <c r="FV48" t="e">
        <f>AND('2015'!BK190,"AAAAAD/7b7E=")</f>
        <v>#VALUE!</v>
      </c>
      <c r="FW48" t="e">
        <f>AND('2015'!BL190,"AAAAAD/7b7I=")</f>
        <v>#VALUE!</v>
      </c>
      <c r="FX48" t="e">
        <f>AND('2015'!BM190,"AAAAAD/7b7M=")</f>
        <v>#VALUE!</v>
      </c>
      <c r="FY48" t="e">
        <f>AND('2015'!BY190,"AAAAAD/7b7Q=")</f>
        <v>#VALUE!</v>
      </c>
      <c r="FZ48">
        <f>IF('2015'!191:191,"AAAAAD/7b7U=",0)</f>
        <v>0</v>
      </c>
      <c r="GA48" t="e">
        <f>AND('2015'!A191,"AAAAAD/7b7Y=")</f>
        <v>#VALUE!</v>
      </c>
      <c r="GB48" t="e">
        <f>AND('2015'!B191,"AAAAAD/7b7c=")</f>
        <v>#VALUE!</v>
      </c>
      <c r="GC48" t="e">
        <f>AND('2015'!C191,"AAAAAD/7b7g=")</f>
        <v>#VALUE!</v>
      </c>
      <c r="GD48" t="e">
        <f>AND('2015'!D191,"AAAAAD/7b7k=")</f>
        <v>#VALUE!</v>
      </c>
      <c r="GE48" t="e">
        <f>AND('2015'!E191,"AAAAAD/7b7o=")</f>
        <v>#VALUE!</v>
      </c>
      <c r="GF48" t="e">
        <f>AND('2015'!F191,"AAAAAD/7b7s=")</f>
        <v>#VALUE!</v>
      </c>
      <c r="GG48" t="e">
        <f>AND('2015'!G191,"AAAAAD/7b7w=")</f>
        <v>#VALUE!</v>
      </c>
      <c r="GH48" t="e">
        <f>AND('2015'!H191,"AAAAAD/7b70=")</f>
        <v>#VALUE!</v>
      </c>
      <c r="GI48" t="e">
        <f>AND('2015'!I191,"AAAAAD/7b74=")</f>
        <v>#VALUE!</v>
      </c>
      <c r="GJ48" t="e">
        <f>AND('2015'!J191,"AAAAAD/7b78=")</f>
        <v>#VALUE!</v>
      </c>
      <c r="GK48" t="e">
        <f>AND('2015'!K191,"AAAAAD/7b8A=")</f>
        <v>#VALUE!</v>
      </c>
      <c r="GL48" t="e">
        <f>AND('2015'!L191,"AAAAAD/7b8E=")</f>
        <v>#VALUE!</v>
      </c>
      <c r="GM48" t="e">
        <f>AND('2015'!M191,"AAAAAD/7b8I=")</f>
        <v>#VALUE!</v>
      </c>
      <c r="GN48" t="e">
        <f>AND('2015'!N191,"AAAAAD/7b8M=")</f>
        <v>#VALUE!</v>
      </c>
      <c r="GO48" t="e">
        <f>AND('2015'!O191,"AAAAAD/7b8Q=")</f>
        <v>#VALUE!</v>
      </c>
      <c r="GP48" t="e">
        <f>AND('2015'!P191,"AAAAAD/7b8U=")</f>
        <v>#VALUE!</v>
      </c>
      <c r="GQ48" t="e">
        <f>AND('2015'!Q191,"AAAAAD/7b8Y=")</f>
        <v>#VALUE!</v>
      </c>
      <c r="GR48" t="e">
        <f>AND('2015'!R191,"AAAAAD/7b8c=")</f>
        <v>#VALUE!</v>
      </c>
      <c r="GS48" t="e">
        <f>AND('2015'!S191,"AAAAAD/7b8g=")</f>
        <v>#VALUE!</v>
      </c>
      <c r="GT48" t="e">
        <f>AND('2015'!T191,"AAAAAD/7b8k=")</f>
        <v>#VALUE!</v>
      </c>
      <c r="GU48" t="e">
        <f>AND('2015'!U191,"AAAAAD/7b8o=")</f>
        <v>#VALUE!</v>
      </c>
      <c r="GV48" t="e">
        <f>AND('2015'!V191,"AAAAAD/7b8s=")</f>
        <v>#VALUE!</v>
      </c>
      <c r="GW48" t="e">
        <f>AND('2015'!W191,"AAAAAD/7b8w=")</f>
        <v>#VALUE!</v>
      </c>
      <c r="GX48" t="e">
        <f>AND('2015'!X191,"AAAAAD/7b80=")</f>
        <v>#VALUE!</v>
      </c>
      <c r="GY48" t="e">
        <f>AND('2015'!Y191,"AAAAAD/7b84=")</f>
        <v>#VALUE!</v>
      </c>
      <c r="GZ48" t="e">
        <f>AND('2015'!Z191,"AAAAAD/7b88=")</f>
        <v>#VALUE!</v>
      </c>
      <c r="HA48" t="e">
        <f>AND('2015'!AA191,"AAAAAD/7b9A=")</f>
        <v>#VALUE!</v>
      </c>
      <c r="HB48" t="e">
        <f>AND('2015'!AB191,"AAAAAD/7b9E=")</f>
        <v>#VALUE!</v>
      </c>
      <c r="HC48" t="e">
        <f>AND('2015'!AC191,"AAAAAD/7b9I=")</f>
        <v>#VALUE!</v>
      </c>
      <c r="HD48" t="e">
        <f>AND('2015'!AD191,"AAAAAD/7b9M=")</f>
        <v>#VALUE!</v>
      </c>
      <c r="HE48" t="e">
        <f>AND('2015'!AE191,"AAAAAD/7b9Q=")</f>
        <v>#VALUE!</v>
      </c>
      <c r="HF48" t="e">
        <f>AND('2015'!AF191,"AAAAAD/7b9U=")</f>
        <v>#VALUE!</v>
      </c>
      <c r="HG48" t="e">
        <f>AND('2015'!AG191,"AAAAAD/7b9Y=")</f>
        <v>#VALUE!</v>
      </c>
      <c r="HH48" t="e">
        <f>AND('2015'!AH191,"AAAAAD/7b9c=")</f>
        <v>#VALUE!</v>
      </c>
      <c r="HI48" t="e">
        <f>AND('2015'!AI191,"AAAAAD/7b9g=")</f>
        <v>#VALUE!</v>
      </c>
      <c r="HJ48" t="e">
        <f>AND('2015'!AJ191,"AAAAAD/7b9k=")</f>
        <v>#VALUE!</v>
      </c>
      <c r="HK48" t="e">
        <f>AND('2015'!AK191,"AAAAAD/7b9o=")</f>
        <v>#VALUE!</v>
      </c>
      <c r="HL48" t="e">
        <f>AND('2015'!AL191,"AAAAAD/7b9s=")</f>
        <v>#VALUE!</v>
      </c>
      <c r="HM48" t="e">
        <f>AND('2015'!AM191,"AAAAAD/7b9w=")</f>
        <v>#VALUE!</v>
      </c>
      <c r="HN48" t="e">
        <f>AND('2015'!AN191,"AAAAAD/7b90=")</f>
        <v>#VALUE!</v>
      </c>
      <c r="HO48" t="e">
        <f>AND('2015'!AO191,"AAAAAD/7b94=")</f>
        <v>#VALUE!</v>
      </c>
      <c r="HP48" t="e">
        <f>AND('2015'!AP191,"AAAAAD/7b98=")</f>
        <v>#VALUE!</v>
      </c>
      <c r="HQ48" t="e">
        <f>AND('2015'!AQ191,"AAAAAD/7b+A=")</f>
        <v>#VALUE!</v>
      </c>
      <c r="HR48" t="e">
        <f>AND('2015'!AR191,"AAAAAD/7b+E=")</f>
        <v>#VALUE!</v>
      </c>
      <c r="HS48" t="e">
        <f>AND('2015'!AS191,"AAAAAD/7b+I=")</f>
        <v>#VALUE!</v>
      </c>
      <c r="HT48" t="e">
        <f>AND('2015'!AT191,"AAAAAD/7b+M=")</f>
        <v>#VALUE!</v>
      </c>
      <c r="HU48" t="e">
        <f>AND('2015'!#REF!,"AAAAAD/7b+Q=")</f>
        <v>#REF!</v>
      </c>
      <c r="HV48" t="e">
        <f>AND('2015'!AU191,"AAAAAD/7b+U=")</f>
        <v>#VALUE!</v>
      </c>
      <c r="HW48" t="e">
        <f>AND('2015'!AV191,"AAAAAD/7b+Y=")</f>
        <v>#VALUE!</v>
      </c>
      <c r="HX48" t="e">
        <f>AND('2015'!AW191,"AAAAAD/7b+c=")</f>
        <v>#VALUE!</v>
      </c>
      <c r="HY48" t="e">
        <f>AND('2015'!AX191,"AAAAAD/7b+g=")</f>
        <v>#VALUE!</v>
      </c>
      <c r="HZ48" t="e">
        <f>AND('2015'!AY191,"AAAAAD/7b+k=")</f>
        <v>#VALUE!</v>
      </c>
      <c r="IA48" t="e">
        <f>AND('2015'!AZ191,"AAAAAD/7b+o=")</f>
        <v>#VALUE!</v>
      </c>
      <c r="IB48" t="e">
        <f>AND('2015'!BA191,"AAAAAD/7b+s=")</f>
        <v>#VALUE!</v>
      </c>
      <c r="IC48" t="e">
        <f>AND('2015'!BB191,"AAAAAD/7b+w=")</f>
        <v>#VALUE!</v>
      </c>
      <c r="ID48" t="e">
        <f>AND('2015'!BC191,"AAAAAD/7b+0=")</f>
        <v>#VALUE!</v>
      </c>
      <c r="IE48" t="e">
        <f>AND('2015'!BD191,"AAAAAD/7b+4=")</f>
        <v>#VALUE!</v>
      </c>
      <c r="IF48" t="e">
        <f>AND('2015'!BE191,"AAAAAD/7b+8=")</f>
        <v>#VALUE!</v>
      </c>
      <c r="IG48" t="e">
        <f>AND('2015'!BF191,"AAAAAD/7b/A=")</f>
        <v>#VALUE!</v>
      </c>
      <c r="IH48" t="e">
        <f>AND('2015'!BG191,"AAAAAD/7b/E=")</f>
        <v>#VALUE!</v>
      </c>
      <c r="II48" t="e">
        <f>AND('2015'!BH191,"AAAAAD/7b/I=")</f>
        <v>#VALUE!</v>
      </c>
      <c r="IJ48" t="e">
        <f>AND('2015'!BI191,"AAAAAD/7b/M=")</f>
        <v>#VALUE!</v>
      </c>
      <c r="IK48" t="e">
        <f>AND('2015'!#REF!,"AAAAAD/7b/Q=")</f>
        <v>#REF!</v>
      </c>
      <c r="IL48" t="e">
        <f>AND('2015'!BJ191,"AAAAAD/7b/U=")</f>
        <v>#VALUE!</v>
      </c>
      <c r="IM48" t="e">
        <f>AND('2015'!BK191,"AAAAAD/7b/Y=")</f>
        <v>#VALUE!</v>
      </c>
      <c r="IN48" t="e">
        <f>AND('2015'!BL191,"AAAAAD/7b/c=")</f>
        <v>#VALUE!</v>
      </c>
      <c r="IO48" t="e">
        <f>AND('2015'!BM191,"AAAAAD/7b/g=")</f>
        <v>#VALUE!</v>
      </c>
      <c r="IP48" t="e">
        <f>AND('2015'!BY191,"AAAAAD/7b/k=")</f>
        <v>#VALUE!</v>
      </c>
      <c r="IQ48">
        <f>IF('2015'!192:192,"AAAAAD/7b/o=",0)</f>
        <v>0</v>
      </c>
      <c r="IR48" t="e">
        <f>AND('2015'!A192,"AAAAAD/7b/s=")</f>
        <v>#VALUE!</v>
      </c>
      <c r="IS48" t="e">
        <f>AND('2015'!B192,"AAAAAD/7b/w=")</f>
        <v>#VALUE!</v>
      </c>
      <c r="IT48" t="e">
        <f>AND('2015'!C192,"AAAAAD/7b/0=")</f>
        <v>#VALUE!</v>
      </c>
      <c r="IU48" t="e">
        <f>AND('2015'!D192,"AAAAAD/7b/4=")</f>
        <v>#VALUE!</v>
      </c>
      <c r="IV48" t="e">
        <f>AND('2015'!E192,"AAAAAD/7b/8=")</f>
        <v>#VALUE!</v>
      </c>
    </row>
    <row r="49" spans="1:256" x14ac:dyDescent="0.25">
      <c r="A49" t="e">
        <f>AND('2015'!F192,"AAAAAG+/rgA=")</f>
        <v>#VALUE!</v>
      </c>
      <c r="B49" t="e">
        <f>AND('2015'!G192,"AAAAAG+/rgE=")</f>
        <v>#VALUE!</v>
      </c>
      <c r="C49" t="e">
        <f>AND('2015'!H192,"AAAAAG+/rgI=")</f>
        <v>#VALUE!</v>
      </c>
      <c r="D49" t="e">
        <f>AND('2015'!I192,"AAAAAG+/rgM=")</f>
        <v>#VALUE!</v>
      </c>
      <c r="E49" t="e">
        <f>AND('2015'!J192,"AAAAAG+/rgQ=")</f>
        <v>#VALUE!</v>
      </c>
      <c r="F49" t="e">
        <f>AND('2015'!K192,"AAAAAG+/rgU=")</f>
        <v>#VALUE!</v>
      </c>
      <c r="G49" t="e">
        <f>AND('2015'!L192,"AAAAAG+/rgY=")</f>
        <v>#VALUE!</v>
      </c>
      <c r="H49" t="e">
        <f>AND('2015'!M192,"AAAAAG+/rgc=")</f>
        <v>#VALUE!</v>
      </c>
      <c r="I49" t="e">
        <f>AND('2015'!N192,"AAAAAG+/rgg=")</f>
        <v>#VALUE!</v>
      </c>
      <c r="J49" t="e">
        <f>AND('2015'!O192,"AAAAAG+/rgk=")</f>
        <v>#VALUE!</v>
      </c>
      <c r="K49" t="e">
        <f>AND('2015'!P192,"AAAAAG+/rgo=")</f>
        <v>#VALUE!</v>
      </c>
      <c r="L49" t="e">
        <f>AND('2015'!Q192,"AAAAAG+/rgs=")</f>
        <v>#VALUE!</v>
      </c>
      <c r="M49" t="e">
        <f>AND('2015'!R192,"AAAAAG+/rgw=")</f>
        <v>#VALUE!</v>
      </c>
      <c r="N49" t="e">
        <f>AND('2015'!S192,"AAAAAG+/rg0=")</f>
        <v>#VALUE!</v>
      </c>
      <c r="O49" t="e">
        <f>AND('2015'!T192,"AAAAAG+/rg4=")</f>
        <v>#VALUE!</v>
      </c>
      <c r="P49" t="e">
        <f>AND('2015'!U192,"AAAAAG+/rg8=")</f>
        <v>#VALUE!</v>
      </c>
      <c r="Q49" t="e">
        <f>AND('2015'!V192,"AAAAAG+/rhA=")</f>
        <v>#VALUE!</v>
      </c>
      <c r="R49" t="e">
        <f>AND('2015'!W192,"AAAAAG+/rhE=")</f>
        <v>#VALUE!</v>
      </c>
      <c r="S49" t="e">
        <f>AND('2015'!X192,"AAAAAG+/rhI=")</f>
        <v>#VALUE!</v>
      </c>
      <c r="T49" t="e">
        <f>AND('2015'!Y192,"AAAAAG+/rhM=")</f>
        <v>#VALUE!</v>
      </c>
      <c r="U49" t="e">
        <f>AND('2015'!Z192,"AAAAAG+/rhQ=")</f>
        <v>#VALUE!</v>
      </c>
      <c r="V49" t="e">
        <f>AND('2015'!AA192,"AAAAAG+/rhU=")</f>
        <v>#VALUE!</v>
      </c>
      <c r="W49" t="e">
        <f>AND('2015'!AB192,"AAAAAG+/rhY=")</f>
        <v>#VALUE!</v>
      </c>
      <c r="X49" t="e">
        <f>AND('2015'!AC192,"AAAAAG+/rhc=")</f>
        <v>#VALUE!</v>
      </c>
      <c r="Y49" t="e">
        <f>AND('2015'!AD192,"AAAAAG+/rhg=")</f>
        <v>#VALUE!</v>
      </c>
      <c r="Z49" t="e">
        <f>AND('2015'!AE192,"AAAAAG+/rhk=")</f>
        <v>#VALUE!</v>
      </c>
      <c r="AA49" t="e">
        <f>AND('2015'!AF192,"AAAAAG+/rho=")</f>
        <v>#VALUE!</v>
      </c>
      <c r="AB49" t="e">
        <f>AND('2015'!AG192,"AAAAAG+/rhs=")</f>
        <v>#VALUE!</v>
      </c>
      <c r="AC49" t="e">
        <f>AND('2015'!AH192,"AAAAAG+/rhw=")</f>
        <v>#VALUE!</v>
      </c>
      <c r="AD49" t="e">
        <f>AND('2015'!AI192,"AAAAAG+/rh0=")</f>
        <v>#VALUE!</v>
      </c>
      <c r="AE49" t="e">
        <f>AND('2015'!AJ192,"AAAAAG+/rh4=")</f>
        <v>#VALUE!</v>
      </c>
      <c r="AF49" t="e">
        <f>AND('2015'!AK192,"AAAAAG+/rh8=")</f>
        <v>#VALUE!</v>
      </c>
      <c r="AG49" t="e">
        <f>AND('2015'!AL192,"AAAAAG+/riA=")</f>
        <v>#VALUE!</v>
      </c>
      <c r="AH49" t="e">
        <f>AND('2015'!AM192,"AAAAAG+/riE=")</f>
        <v>#VALUE!</v>
      </c>
      <c r="AI49" t="e">
        <f>AND('2015'!AN192,"AAAAAG+/riI=")</f>
        <v>#VALUE!</v>
      </c>
      <c r="AJ49" t="e">
        <f>AND('2015'!AO192,"AAAAAG+/riM=")</f>
        <v>#VALUE!</v>
      </c>
      <c r="AK49" t="e">
        <f>AND('2015'!AP192,"AAAAAG+/riQ=")</f>
        <v>#VALUE!</v>
      </c>
      <c r="AL49" t="e">
        <f>AND('2015'!AQ192,"AAAAAG+/riU=")</f>
        <v>#VALUE!</v>
      </c>
      <c r="AM49" t="e">
        <f>AND('2015'!AR192,"AAAAAG+/riY=")</f>
        <v>#VALUE!</v>
      </c>
      <c r="AN49" t="e">
        <f>AND('2015'!AS192,"AAAAAG+/ric=")</f>
        <v>#VALUE!</v>
      </c>
      <c r="AO49" t="e">
        <f>AND('2015'!AT192,"AAAAAG+/rig=")</f>
        <v>#VALUE!</v>
      </c>
      <c r="AP49" t="e">
        <f>AND('2015'!#REF!,"AAAAAG+/rik=")</f>
        <v>#REF!</v>
      </c>
      <c r="AQ49" t="e">
        <f>AND('2015'!AU192,"AAAAAG+/rio=")</f>
        <v>#VALUE!</v>
      </c>
      <c r="AR49" t="e">
        <f>AND('2015'!AV192,"AAAAAG+/ris=")</f>
        <v>#VALUE!</v>
      </c>
      <c r="AS49" t="e">
        <f>AND('2015'!AW192,"AAAAAG+/riw=")</f>
        <v>#VALUE!</v>
      </c>
      <c r="AT49" t="e">
        <f>AND('2015'!AX192,"AAAAAG+/ri0=")</f>
        <v>#VALUE!</v>
      </c>
      <c r="AU49" t="e">
        <f>AND('2015'!AY192,"AAAAAG+/ri4=")</f>
        <v>#VALUE!</v>
      </c>
      <c r="AV49" t="e">
        <f>AND('2015'!AZ192,"AAAAAG+/ri8=")</f>
        <v>#VALUE!</v>
      </c>
      <c r="AW49" t="e">
        <f>AND('2015'!BA192,"AAAAAG+/rjA=")</f>
        <v>#VALUE!</v>
      </c>
      <c r="AX49" t="e">
        <f>AND('2015'!BB192,"AAAAAG+/rjE=")</f>
        <v>#VALUE!</v>
      </c>
      <c r="AY49" t="e">
        <f>AND('2015'!BC192,"AAAAAG+/rjI=")</f>
        <v>#VALUE!</v>
      </c>
      <c r="AZ49" t="e">
        <f>AND('2015'!BD192,"AAAAAG+/rjM=")</f>
        <v>#VALUE!</v>
      </c>
      <c r="BA49" t="e">
        <f>AND('2015'!BE192,"AAAAAG+/rjQ=")</f>
        <v>#VALUE!</v>
      </c>
      <c r="BB49" t="e">
        <f>AND('2015'!BF192,"AAAAAG+/rjU=")</f>
        <v>#VALUE!</v>
      </c>
      <c r="BC49" t="e">
        <f>AND('2015'!BG192,"AAAAAG+/rjY=")</f>
        <v>#VALUE!</v>
      </c>
      <c r="BD49" t="e">
        <f>AND('2015'!BH192,"AAAAAG+/rjc=")</f>
        <v>#VALUE!</v>
      </c>
      <c r="BE49" t="e">
        <f>AND('2015'!BI192,"AAAAAG+/rjg=")</f>
        <v>#VALUE!</v>
      </c>
      <c r="BF49" t="e">
        <f>AND('2015'!#REF!,"AAAAAG+/rjk=")</f>
        <v>#REF!</v>
      </c>
      <c r="BG49" t="e">
        <f>AND('2015'!BJ192,"AAAAAG+/rjo=")</f>
        <v>#VALUE!</v>
      </c>
      <c r="BH49" t="e">
        <f>AND('2015'!BK192,"AAAAAG+/rjs=")</f>
        <v>#VALUE!</v>
      </c>
      <c r="BI49" t="e">
        <f>AND('2015'!BL192,"AAAAAG+/rjw=")</f>
        <v>#VALUE!</v>
      </c>
      <c r="BJ49" t="e">
        <f>AND('2015'!BM192,"AAAAAG+/rj0=")</f>
        <v>#VALUE!</v>
      </c>
      <c r="BK49" t="e">
        <f>AND('2015'!BY192,"AAAAAG+/rj4=")</f>
        <v>#VALUE!</v>
      </c>
      <c r="BL49">
        <f>IF('2015'!193:193,"AAAAAG+/rj8=",0)</f>
        <v>0</v>
      </c>
      <c r="BM49" t="e">
        <f>AND('2015'!A193,"AAAAAG+/rkA=")</f>
        <v>#VALUE!</v>
      </c>
      <c r="BN49" t="e">
        <f>AND('2015'!B193,"AAAAAG+/rkE=")</f>
        <v>#VALUE!</v>
      </c>
      <c r="BO49" t="e">
        <f>AND('2015'!C193,"AAAAAG+/rkI=")</f>
        <v>#VALUE!</v>
      </c>
      <c r="BP49" t="e">
        <f>AND('2015'!D193,"AAAAAG+/rkM=")</f>
        <v>#VALUE!</v>
      </c>
      <c r="BQ49" t="e">
        <f>AND('2015'!E193,"AAAAAG+/rkQ=")</f>
        <v>#VALUE!</v>
      </c>
      <c r="BR49" t="e">
        <f>AND('2015'!F193,"AAAAAG+/rkU=")</f>
        <v>#VALUE!</v>
      </c>
      <c r="BS49" t="e">
        <f>AND('2015'!G193,"AAAAAG+/rkY=")</f>
        <v>#VALUE!</v>
      </c>
      <c r="BT49" t="e">
        <f>AND('2015'!H193,"AAAAAG+/rkc=")</f>
        <v>#VALUE!</v>
      </c>
      <c r="BU49" t="e">
        <f>AND('2015'!I193,"AAAAAG+/rkg=")</f>
        <v>#VALUE!</v>
      </c>
      <c r="BV49" t="e">
        <f>AND('2015'!J193,"AAAAAG+/rkk=")</f>
        <v>#VALUE!</v>
      </c>
      <c r="BW49" t="e">
        <f>AND('2015'!K193,"AAAAAG+/rko=")</f>
        <v>#VALUE!</v>
      </c>
      <c r="BX49" t="e">
        <f>AND('2015'!L193,"AAAAAG+/rks=")</f>
        <v>#VALUE!</v>
      </c>
      <c r="BY49" t="e">
        <f>AND('2015'!M193,"AAAAAG+/rkw=")</f>
        <v>#VALUE!</v>
      </c>
      <c r="BZ49" t="e">
        <f>AND('2015'!N193,"AAAAAG+/rk0=")</f>
        <v>#VALUE!</v>
      </c>
      <c r="CA49" t="e">
        <f>AND('2015'!O193,"AAAAAG+/rk4=")</f>
        <v>#VALUE!</v>
      </c>
      <c r="CB49" t="e">
        <f>AND('2015'!P193,"AAAAAG+/rk8=")</f>
        <v>#VALUE!</v>
      </c>
      <c r="CC49" t="e">
        <f>AND('2015'!Q193,"AAAAAG+/rlA=")</f>
        <v>#VALUE!</v>
      </c>
      <c r="CD49" t="e">
        <f>AND('2015'!R193,"AAAAAG+/rlE=")</f>
        <v>#VALUE!</v>
      </c>
      <c r="CE49" t="e">
        <f>AND('2015'!S193,"AAAAAG+/rlI=")</f>
        <v>#VALUE!</v>
      </c>
      <c r="CF49" t="e">
        <f>AND('2015'!T193,"AAAAAG+/rlM=")</f>
        <v>#VALUE!</v>
      </c>
      <c r="CG49" t="e">
        <f>AND('2015'!U193,"AAAAAG+/rlQ=")</f>
        <v>#VALUE!</v>
      </c>
      <c r="CH49" t="e">
        <f>AND('2015'!V193,"AAAAAG+/rlU=")</f>
        <v>#VALUE!</v>
      </c>
      <c r="CI49" t="e">
        <f>AND('2015'!W193,"AAAAAG+/rlY=")</f>
        <v>#VALUE!</v>
      </c>
      <c r="CJ49" t="e">
        <f>AND('2015'!X193,"AAAAAG+/rlc=")</f>
        <v>#VALUE!</v>
      </c>
      <c r="CK49" t="e">
        <f>AND('2015'!Y193,"AAAAAG+/rlg=")</f>
        <v>#VALUE!</v>
      </c>
      <c r="CL49" t="e">
        <f>AND('2015'!Z193,"AAAAAG+/rlk=")</f>
        <v>#VALUE!</v>
      </c>
      <c r="CM49" t="e">
        <f>AND('2015'!AA193,"AAAAAG+/rlo=")</f>
        <v>#VALUE!</v>
      </c>
      <c r="CN49" t="e">
        <f>AND('2015'!AB193,"AAAAAG+/rls=")</f>
        <v>#VALUE!</v>
      </c>
      <c r="CO49" t="e">
        <f>AND('2015'!AC193,"AAAAAG+/rlw=")</f>
        <v>#VALUE!</v>
      </c>
      <c r="CP49" t="e">
        <f>AND('2015'!AD193,"AAAAAG+/rl0=")</f>
        <v>#VALUE!</v>
      </c>
      <c r="CQ49" t="e">
        <f>AND('2015'!AE193,"AAAAAG+/rl4=")</f>
        <v>#VALUE!</v>
      </c>
      <c r="CR49" t="e">
        <f>AND('2015'!AF193,"AAAAAG+/rl8=")</f>
        <v>#VALUE!</v>
      </c>
      <c r="CS49" t="e">
        <f>AND('2015'!AG193,"AAAAAG+/rmA=")</f>
        <v>#VALUE!</v>
      </c>
      <c r="CT49" t="e">
        <f>AND('2015'!AH193,"AAAAAG+/rmE=")</f>
        <v>#VALUE!</v>
      </c>
      <c r="CU49" t="e">
        <f>AND('2015'!AI193,"AAAAAG+/rmI=")</f>
        <v>#VALUE!</v>
      </c>
      <c r="CV49" t="e">
        <f>AND('2015'!AJ193,"AAAAAG+/rmM=")</f>
        <v>#VALUE!</v>
      </c>
      <c r="CW49" t="e">
        <f>AND('2015'!AK193,"AAAAAG+/rmQ=")</f>
        <v>#VALUE!</v>
      </c>
      <c r="CX49" t="e">
        <f>AND('2015'!AL193,"AAAAAG+/rmU=")</f>
        <v>#VALUE!</v>
      </c>
      <c r="CY49" t="e">
        <f>AND('2015'!AM193,"AAAAAG+/rmY=")</f>
        <v>#VALUE!</v>
      </c>
      <c r="CZ49" t="e">
        <f>AND('2015'!AN193,"AAAAAG+/rmc=")</f>
        <v>#VALUE!</v>
      </c>
      <c r="DA49" t="e">
        <f>AND('2015'!AO193,"AAAAAG+/rmg=")</f>
        <v>#VALUE!</v>
      </c>
      <c r="DB49" t="e">
        <f>AND('2015'!AP193,"AAAAAG+/rmk=")</f>
        <v>#VALUE!</v>
      </c>
      <c r="DC49" t="e">
        <f>AND('2015'!AQ193,"AAAAAG+/rmo=")</f>
        <v>#VALUE!</v>
      </c>
      <c r="DD49" t="e">
        <f>AND('2015'!AR193,"AAAAAG+/rms=")</f>
        <v>#VALUE!</v>
      </c>
      <c r="DE49" t="e">
        <f>AND('2015'!AS193,"AAAAAG+/rmw=")</f>
        <v>#VALUE!</v>
      </c>
      <c r="DF49" t="e">
        <f>AND('2015'!AT193,"AAAAAG+/rm0=")</f>
        <v>#VALUE!</v>
      </c>
      <c r="DG49" t="e">
        <f>AND('2015'!#REF!,"AAAAAG+/rm4=")</f>
        <v>#REF!</v>
      </c>
      <c r="DH49" t="e">
        <f>AND('2015'!AU193,"AAAAAG+/rm8=")</f>
        <v>#VALUE!</v>
      </c>
      <c r="DI49" t="e">
        <f>AND('2015'!AV193,"AAAAAG+/rnA=")</f>
        <v>#VALUE!</v>
      </c>
      <c r="DJ49" t="e">
        <f>AND('2015'!AW193,"AAAAAG+/rnE=")</f>
        <v>#VALUE!</v>
      </c>
      <c r="DK49" t="e">
        <f>AND('2015'!AX193,"AAAAAG+/rnI=")</f>
        <v>#VALUE!</v>
      </c>
      <c r="DL49" t="e">
        <f>AND('2015'!AY193,"AAAAAG+/rnM=")</f>
        <v>#VALUE!</v>
      </c>
      <c r="DM49" t="e">
        <f>AND('2015'!AZ193,"AAAAAG+/rnQ=")</f>
        <v>#VALUE!</v>
      </c>
      <c r="DN49" t="e">
        <f>AND('2015'!BA193,"AAAAAG+/rnU=")</f>
        <v>#VALUE!</v>
      </c>
      <c r="DO49" t="e">
        <f>AND('2015'!BB193,"AAAAAG+/rnY=")</f>
        <v>#VALUE!</v>
      </c>
      <c r="DP49" t="e">
        <f>AND('2015'!BC193,"AAAAAG+/rnc=")</f>
        <v>#VALUE!</v>
      </c>
      <c r="DQ49" t="e">
        <f>AND('2015'!BD193,"AAAAAG+/rng=")</f>
        <v>#VALUE!</v>
      </c>
      <c r="DR49" t="e">
        <f>AND('2015'!BE193,"AAAAAG+/rnk=")</f>
        <v>#VALUE!</v>
      </c>
      <c r="DS49" t="e">
        <f>AND('2015'!BF193,"AAAAAG+/rno=")</f>
        <v>#VALUE!</v>
      </c>
      <c r="DT49" t="e">
        <f>AND('2015'!BG193,"AAAAAG+/rns=")</f>
        <v>#VALUE!</v>
      </c>
      <c r="DU49" t="e">
        <f>AND('2015'!BH193,"AAAAAG+/rnw=")</f>
        <v>#VALUE!</v>
      </c>
      <c r="DV49" t="e">
        <f>AND('2015'!BI193,"AAAAAG+/rn0=")</f>
        <v>#VALUE!</v>
      </c>
      <c r="DW49" t="e">
        <f>AND('2015'!#REF!,"AAAAAG+/rn4=")</f>
        <v>#REF!</v>
      </c>
      <c r="DX49" t="e">
        <f>AND('2015'!BJ193,"AAAAAG+/rn8=")</f>
        <v>#VALUE!</v>
      </c>
      <c r="DY49" t="e">
        <f>AND('2015'!BK193,"AAAAAG+/roA=")</f>
        <v>#VALUE!</v>
      </c>
      <c r="DZ49" t="e">
        <f>AND('2015'!BL193,"AAAAAG+/roE=")</f>
        <v>#VALUE!</v>
      </c>
      <c r="EA49" t="e">
        <f>AND('2015'!BM193,"AAAAAG+/roI=")</f>
        <v>#VALUE!</v>
      </c>
      <c r="EB49" t="e">
        <f>AND('2015'!BY193,"AAAAAG+/roM=")</f>
        <v>#VALUE!</v>
      </c>
      <c r="EC49">
        <f>IF('2015'!194:194,"AAAAAG+/roQ=",0)</f>
        <v>0</v>
      </c>
      <c r="ED49" t="e">
        <f>AND('2015'!A194,"AAAAAG+/roU=")</f>
        <v>#VALUE!</v>
      </c>
      <c r="EE49" t="e">
        <f>AND('2015'!B194,"AAAAAG+/roY=")</f>
        <v>#VALUE!</v>
      </c>
      <c r="EF49" t="e">
        <f>AND('2015'!C194,"AAAAAG+/roc=")</f>
        <v>#VALUE!</v>
      </c>
      <c r="EG49" t="e">
        <f>AND('2015'!D194,"AAAAAG+/rog=")</f>
        <v>#VALUE!</v>
      </c>
      <c r="EH49" t="e">
        <f>AND('2015'!E194,"AAAAAG+/rok=")</f>
        <v>#VALUE!</v>
      </c>
      <c r="EI49" t="e">
        <f>AND('2015'!F194,"AAAAAG+/roo=")</f>
        <v>#VALUE!</v>
      </c>
      <c r="EJ49" t="e">
        <f>AND('2015'!G194,"AAAAAG+/ros=")</f>
        <v>#VALUE!</v>
      </c>
      <c r="EK49" t="e">
        <f>AND('2015'!H194,"AAAAAG+/row=")</f>
        <v>#VALUE!</v>
      </c>
      <c r="EL49" t="e">
        <f>AND('2015'!I194,"AAAAAG+/ro0=")</f>
        <v>#VALUE!</v>
      </c>
      <c r="EM49" t="e">
        <f>AND('2015'!J194,"AAAAAG+/ro4=")</f>
        <v>#VALUE!</v>
      </c>
      <c r="EN49" t="e">
        <f>AND('2015'!K194,"AAAAAG+/ro8=")</f>
        <v>#VALUE!</v>
      </c>
      <c r="EO49" t="e">
        <f>AND('2015'!L194,"AAAAAG+/rpA=")</f>
        <v>#VALUE!</v>
      </c>
      <c r="EP49" t="e">
        <f>AND('2015'!M194,"AAAAAG+/rpE=")</f>
        <v>#VALUE!</v>
      </c>
      <c r="EQ49" t="e">
        <f>AND('2015'!N194,"AAAAAG+/rpI=")</f>
        <v>#VALUE!</v>
      </c>
      <c r="ER49" t="e">
        <f>AND('2015'!O194,"AAAAAG+/rpM=")</f>
        <v>#VALUE!</v>
      </c>
      <c r="ES49" t="e">
        <f>AND('2015'!P194,"AAAAAG+/rpQ=")</f>
        <v>#VALUE!</v>
      </c>
      <c r="ET49" t="e">
        <f>AND('2015'!Q194,"AAAAAG+/rpU=")</f>
        <v>#VALUE!</v>
      </c>
      <c r="EU49" t="e">
        <f>AND('2015'!R194,"AAAAAG+/rpY=")</f>
        <v>#VALUE!</v>
      </c>
      <c r="EV49" t="e">
        <f>AND('2015'!S194,"AAAAAG+/rpc=")</f>
        <v>#VALUE!</v>
      </c>
      <c r="EW49" t="e">
        <f>AND('2015'!T194,"AAAAAG+/rpg=")</f>
        <v>#VALUE!</v>
      </c>
      <c r="EX49" t="e">
        <f>AND('2015'!U194,"AAAAAG+/rpk=")</f>
        <v>#VALUE!</v>
      </c>
      <c r="EY49" t="e">
        <f>AND('2015'!V194,"AAAAAG+/rpo=")</f>
        <v>#VALUE!</v>
      </c>
      <c r="EZ49" t="e">
        <f>AND('2015'!W194,"AAAAAG+/rps=")</f>
        <v>#VALUE!</v>
      </c>
      <c r="FA49" t="e">
        <f>AND('2015'!X194,"AAAAAG+/rpw=")</f>
        <v>#VALUE!</v>
      </c>
      <c r="FB49" t="e">
        <f>AND('2015'!Y194,"AAAAAG+/rp0=")</f>
        <v>#VALUE!</v>
      </c>
      <c r="FC49" t="e">
        <f>AND('2015'!Z194,"AAAAAG+/rp4=")</f>
        <v>#VALUE!</v>
      </c>
      <c r="FD49" t="e">
        <f>AND('2015'!AA194,"AAAAAG+/rp8=")</f>
        <v>#VALUE!</v>
      </c>
      <c r="FE49" t="e">
        <f>AND('2015'!AB194,"AAAAAG+/rqA=")</f>
        <v>#VALUE!</v>
      </c>
      <c r="FF49" t="e">
        <f>AND('2015'!AC194,"AAAAAG+/rqE=")</f>
        <v>#VALUE!</v>
      </c>
      <c r="FG49" t="e">
        <f>AND('2015'!AD194,"AAAAAG+/rqI=")</f>
        <v>#VALUE!</v>
      </c>
      <c r="FH49" t="e">
        <f>AND('2015'!AE194,"AAAAAG+/rqM=")</f>
        <v>#VALUE!</v>
      </c>
      <c r="FI49" t="e">
        <f>AND('2015'!AF194,"AAAAAG+/rqQ=")</f>
        <v>#VALUE!</v>
      </c>
      <c r="FJ49" t="e">
        <f>AND('2015'!AG194,"AAAAAG+/rqU=")</f>
        <v>#VALUE!</v>
      </c>
      <c r="FK49" t="e">
        <f>AND('2015'!AH194,"AAAAAG+/rqY=")</f>
        <v>#VALUE!</v>
      </c>
      <c r="FL49" t="e">
        <f>AND('2015'!AI194,"AAAAAG+/rqc=")</f>
        <v>#VALUE!</v>
      </c>
      <c r="FM49" t="e">
        <f>AND('2015'!AJ194,"AAAAAG+/rqg=")</f>
        <v>#VALUE!</v>
      </c>
      <c r="FN49" t="e">
        <f>AND('2015'!AK194,"AAAAAG+/rqk=")</f>
        <v>#VALUE!</v>
      </c>
      <c r="FO49" t="e">
        <f>AND('2015'!AL194,"AAAAAG+/rqo=")</f>
        <v>#VALUE!</v>
      </c>
      <c r="FP49" t="e">
        <f>AND('2015'!AM194,"AAAAAG+/rqs=")</f>
        <v>#VALUE!</v>
      </c>
      <c r="FQ49" t="e">
        <f>AND('2015'!AN194,"AAAAAG+/rqw=")</f>
        <v>#VALUE!</v>
      </c>
      <c r="FR49" t="e">
        <f>AND('2015'!AO194,"AAAAAG+/rq0=")</f>
        <v>#VALUE!</v>
      </c>
      <c r="FS49" t="e">
        <f>AND('2015'!AP194,"AAAAAG+/rq4=")</f>
        <v>#VALUE!</v>
      </c>
      <c r="FT49" t="e">
        <f>AND('2015'!AQ194,"AAAAAG+/rq8=")</f>
        <v>#VALUE!</v>
      </c>
      <c r="FU49" t="e">
        <f>AND('2015'!AR194,"AAAAAG+/rrA=")</f>
        <v>#VALUE!</v>
      </c>
      <c r="FV49" t="e">
        <f>AND('2015'!AS194,"AAAAAG+/rrE=")</f>
        <v>#VALUE!</v>
      </c>
      <c r="FW49" t="e">
        <f>AND('2015'!AT194,"AAAAAG+/rrI=")</f>
        <v>#VALUE!</v>
      </c>
      <c r="FX49" t="e">
        <f>AND('2015'!#REF!,"AAAAAG+/rrM=")</f>
        <v>#REF!</v>
      </c>
      <c r="FY49" t="e">
        <f>AND('2015'!AU194,"AAAAAG+/rrQ=")</f>
        <v>#VALUE!</v>
      </c>
      <c r="FZ49" t="e">
        <f>AND('2015'!AV194,"AAAAAG+/rrU=")</f>
        <v>#VALUE!</v>
      </c>
      <c r="GA49" t="e">
        <f>AND('2015'!AW194,"AAAAAG+/rrY=")</f>
        <v>#VALUE!</v>
      </c>
      <c r="GB49" t="e">
        <f>AND('2015'!AX194,"AAAAAG+/rrc=")</f>
        <v>#VALUE!</v>
      </c>
      <c r="GC49" t="e">
        <f>AND('2015'!AY194,"AAAAAG+/rrg=")</f>
        <v>#VALUE!</v>
      </c>
      <c r="GD49" t="e">
        <f>AND('2015'!AZ194,"AAAAAG+/rrk=")</f>
        <v>#VALUE!</v>
      </c>
      <c r="GE49" t="e">
        <f>AND('2015'!BA194,"AAAAAG+/rro=")</f>
        <v>#VALUE!</v>
      </c>
      <c r="GF49" t="e">
        <f>AND('2015'!BB194,"AAAAAG+/rrs=")</f>
        <v>#VALUE!</v>
      </c>
      <c r="GG49" t="e">
        <f>AND('2015'!BC194,"AAAAAG+/rrw=")</f>
        <v>#VALUE!</v>
      </c>
      <c r="GH49" t="e">
        <f>AND('2015'!BD194,"AAAAAG+/rr0=")</f>
        <v>#VALUE!</v>
      </c>
      <c r="GI49" t="e">
        <f>AND('2015'!BE194,"AAAAAG+/rr4=")</f>
        <v>#VALUE!</v>
      </c>
      <c r="GJ49" t="e">
        <f>AND('2015'!BF194,"AAAAAG+/rr8=")</f>
        <v>#VALUE!</v>
      </c>
      <c r="GK49" t="e">
        <f>AND('2015'!BG194,"AAAAAG+/rsA=")</f>
        <v>#VALUE!</v>
      </c>
      <c r="GL49" t="e">
        <f>AND('2015'!BH194,"AAAAAG+/rsE=")</f>
        <v>#VALUE!</v>
      </c>
      <c r="GM49" t="e">
        <f>AND('2015'!BI194,"AAAAAG+/rsI=")</f>
        <v>#VALUE!</v>
      </c>
      <c r="GN49" t="e">
        <f>AND('2015'!#REF!,"AAAAAG+/rsM=")</f>
        <v>#REF!</v>
      </c>
      <c r="GO49" t="e">
        <f>AND('2015'!BJ194,"AAAAAG+/rsQ=")</f>
        <v>#VALUE!</v>
      </c>
      <c r="GP49" t="e">
        <f>AND('2015'!BK194,"AAAAAG+/rsU=")</f>
        <v>#VALUE!</v>
      </c>
      <c r="GQ49" t="e">
        <f>AND('2015'!BL194,"AAAAAG+/rsY=")</f>
        <v>#VALUE!</v>
      </c>
      <c r="GR49" t="e">
        <f>AND('2015'!BM194,"AAAAAG+/rsc=")</f>
        <v>#VALUE!</v>
      </c>
      <c r="GS49" t="e">
        <f>AND('2015'!BY194,"AAAAAG+/rsg=")</f>
        <v>#VALUE!</v>
      </c>
      <c r="GT49">
        <f>IF('2015'!195:195,"AAAAAG+/rsk=",0)</f>
        <v>0</v>
      </c>
      <c r="GU49" t="e">
        <f>AND('2015'!A195,"AAAAAG+/rso=")</f>
        <v>#VALUE!</v>
      </c>
      <c r="GV49" t="e">
        <f>AND('2015'!B195,"AAAAAG+/rss=")</f>
        <v>#VALUE!</v>
      </c>
      <c r="GW49" t="e">
        <f>AND('2015'!C195,"AAAAAG+/rsw=")</f>
        <v>#VALUE!</v>
      </c>
      <c r="GX49" t="e">
        <f>AND('2015'!D195,"AAAAAG+/rs0=")</f>
        <v>#VALUE!</v>
      </c>
      <c r="GY49" t="e">
        <f>AND('2015'!E195,"AAAAAG+/rs4=")</f>
        <v>#VALUE!</v>
      </c>
      <c r="GZ49" t="e">
        <f>AND('2015'!F195,"AAAAAG+/rs8=")</f>
        <v>#VALUE!</v>
      </c>
      <c r="HA49" t="e">
        <f>AND('2015'!G195,"AAAAAG+/rtA=")</f>
        <v>#VALUE!</v>
      </c>
      <c r="HB49" t="e">
        <f>AND('2015'!H195,"AAAAAG+/rtE=")</f>
        <v>#VALUE!</v>
      </c>
      <c r="HC49" t="e">
        <f>AND('2015'!I195,"AAAAAG+/rtI=")</f>
        <v>#VALUE!</v>
      </c>
      <c r="HD49" t="e">
        <f>AND('2015'!J195,"AAAAAG+/rtM=")</f>
        <v>#VALUE!</v>
      </c>
      <c r="HE49" t="e">
        <f>AND('2015'!K195,"AAAAAG+/rtQ=")</f>
        <v>#VALUE!</v>
      </c>
      <c r="HF49" t="e">
        <f>AND('2015'!L195,"AAAAAG+/rtU=")</f>
        <v>#VALUE!</v>
      </c>
      <c r="HG49" t="e">
        <f>AND('2015'!M195,"AAAAAG+/rtY=")</f>
        <v>#VALUE!</v>
      </c>
      <c r="HH49" t="e">
        <f>AND('2015'!N195,"AAAAAG+/rtc=")</f>
        <v>#VALUE!</v>
      </c>
      <c r="HI49" t="e">
        <f>AND('2015'!O195,"AAAAAG+/rtg=")</f>
        <v>#VALUE!</v>
      </c>
      <c r="HJ49" t="e">
        <f>AND('2015'!P195,"AAAAAG+/rtk=")</f>
        <v>#VALUE!</v>
      </c>
      <c r="HK49" t="e">
        <f>AND('2015'!Q195,"AAAAAG+/rto=")</f>
        <v>#VALUE!</v>
      </c>
      <c r="HL49" t="e">
        <f>AND('2015'!R195,"AAAAAG+/rts=")</f>
        <v>#VALUE!</v>
      </c>
      <c r="HM49" t="e">
        <f>AND('2015'!S195,"AAAAAG+/rtw=")</f>
        <v>#VALUE!</v>
      </c>
      <c r="HN49" t="e">
        <f>AND('2015'!T195,"AAAAAG+/rt0=")</f>
        <v>#VALUE!</v>
      </c>
      <c r="HO49" t="e">
        <f>AND('2015'!U195,"AAAAAG+/rt4=")</f>
        <v>#VALUE!</v>
      </c>
      <c r="HP49" t="e">
        <f>AND('2015'!V195,"AAAAAG+/rt8=")</f>
        <v>#VALUE!</v>
      </c>
      <c r="HQ49" t="e">
        <f>AND('2015'!W195,"AAAAAG+/ruA=")</f>
        <v>#VALUE!</v>
      </c>
      <c r="HR49" t="e">
        <f>AND('2015'!X195,"AAAAAG+/ruE=")</f>
        <v>#VALUE!</v>
      </c>
      <c r="HS49" t="e">
        <f>AND('2015'!Y195,"AAAAAG+/ruI=")</f>
        <v>#VALUE!</v>
      </c>
      <c r="HT49" t="e">
        <f>AND('2015'!Z195,"AAAAAG+/ruM=")</f>
        <v>#VALUE!</v>
      </c>
      <c r="HU49" t="e">
        <f>AND('2015'!AA195,"AAAAAG+/ruQ=")</f>
        <v>#VALUE!</v>
      </c>
      <c r="HV49" t="e">
        <f>AND('2015'!AB195,"AAAAAG+/ruU=")</f>
        <v>#VALUE!</v>
      </c>
      <c r="HW49" t="e">
        <f>AND('2015'!AC195,"AAAAAG+/ruY=")</f>
        <v>#VALUE!</v>
      </c>
      <c r="HX49" t="e">
        <f>AND('2015'!AD195,"AAAAAG+/ruc=")</f>
        <v>#VALUE!</v>
      </c>
      <c r="HY49" t="e">
        <f>AND('2015'!AE195,"AAAAAG+/rug=")</f>
        <v>#VALUE!</v>
      </c>
      <c r="HZ49" t="e">
        <f>AND('2015'!AF195,"AAAAAG+/ruk=")</f>
        <v>#VALUE!</v>
      </c>
      <c r="IA49" t="e">
        <f>AND('2015'!AG195,"AAAAAG+/ruo=")</f>
        <v>#VALUE!</v>
      </c>
      <c r="IB49" t="e">
        <f>AND('2015'!AH195,"AAAAAG+/rus=")</f>
        <v>#VALUE!</v>
      </c>
      <c r="IC49" t="e">
        <f>AND('2015'!AI195,"AAAAAG+/ruw=")</f>
        <v>#VALUE!</v>
      </c>
      <c r="ID49" t="e">
        <f>AND('2015'!AJ195,"AAAAAG+/ru0=")</f>
        <v>#VALUE!</v>
      </c>
      <c r="IE49" t="e">
        <f>AND('2015'!AK195,"AAAAAG+/ru4=")</f>
        <v>#VALUE!</v>
      </c>
      <c r="IF49" t="e">
        <f>AND('2015'!AL195,"AAAAAG+/ru8=")</f>
        <v>#VALUE!</v>
      </c>
      <c r="IG49" t="e">
        <f>AND('2015'!AM195,"AAAAAG+/rvA=")</f>
        <v>#VALUE!</v>
      </c>
      <c r="IH49" t="e">
        <f>AND('2015'!AN195,"AAAAAG+/rvE=")</f>
        <v>#VALUE!</v>
      </c>
      <c r="II49" t="e">
        <f>AND('2015'!AO195,"AAAAAG+/rvI=")</f>
        <v>#VALUE!</v>
      </c>
      <c r="IJ49" t="e">
        <f>AND('2015'!AP195,"AAAAAG+/rvM=")</f>
        <v>#VALUE!</v>
      </c>
      <c r="IK49" t="e">
        <f>AND('2015'!AQ195,"AAAAAG+/rvQ=")</f>
        <v>#VALUE!</v>
      </c>
      <c r="IL49" t="e">
        <f>AND('2015'!AR195,"AAAAAG+/rvU=")</f>
        <v>#VALUE!</v>
      </c>
      <c r="IM49" t="e">
        <f>AND('2015'!AS195,"AAAAAG+/rvY=")</f>
        <v>#VALUE!</v>
      </c>
      <c r="IN49" t="e">
        <f>AND('2015'!AT195,"AAAAAG+/rvc=")</f>
        <v>#VALUE!</v>
      </c>
      <c r="IO49" t="e">
        <f>AND('2015'!#REF!,"AAAAAG+/rvg=")</f>
        <v>#REF!</v>
      </c>
      <c r="IP49" t="e">
        <f>AND('2015'!AU195,"AAAAAG+/rvk=")</f>
        <v>#VALUE!</v>
      </c>
      <c r="IQ49" t="e">
        <f>AND('2015'!AV195,"AAAAAG+/rvo=")</f>
        <v>#VALUE!</v>
      </c>
      <c r="IR49" t="e">
        <f>AND('2015'!AW195,"AAAAAG+/rvs=")</f>
        <v>#VALUE!</v>
      </c>
      <c r="IS49" t="e">
        <f>AND('2015'!AX195,"AAAAAG+/rvw=")</f>
        <v>#VALUE!</v>
      </c>
      <c r="IT49" t="e">
        <f>AND('2015'!AY195,"AAAAAG+/rv0=")</f>
        <v>#VALUE!</v>
      </c>
      <c r="IU49" t="e">
        <f>AND('2015'!AZ195,"AAAAAG+/rv4=")</f>
        <v>#VALUE!</v>
      </c>
      <c r="IV49" t="e">
        <f>AND('2015'!BA195,"AAAAAG+/rv8=")</f>
        <v>#VALUE!</v>
      </c>
    </row>
    <row r="50" spans="1:256" x14ac:dyDescent="0.25">
      <c r="A50" t="e">
        <f>AND('2015'!BB195,"AAAAAF3x9wA=")</f>
        <v>#VALUE!</v>
      </c>
      <c r="B50" t="e">
        <f>AND('2015'!BC195,"AAAAAF3x9wE=")</f>
        <v>#VALUE!</v>
      </c>
      <c r="C50" t="e">
        <f>AND('2015'!BD195,"AAAAAF3x9wI=")</f>
        <v>#VALUE!</v>
      </c>
      <c r="D50" t="e">
        <f>AND('2015'!BE195,"AAAAAF3x9wM=")</f>
        <v>#VALUE!</v>
      </c>
      <c r="E50" t="e">
        <f>AND('2015'!BF195,"AAAAAF3x9wQ=")</f>
        <v>#VALUE!</v>
      </c>
      <c r="F50" t="e">
        <f>AND('2015'!BG195,"AAAAAF3x9wU=")</f>
        <v>#VALUE!</v>
      </c>
      <c r="G50" t="e">
        <f>AND('2015'!BH195,"AAAAAF3x9wY=")</f>
        <v>#VALUE!</v>
      </c>
      <c r="H50" t="e">
        <f>AND('2015'!BI195,"AAAAAF3x9wc=")</f>
        <v>#VALUE!</v>
      </c>
      <c r="I50" t="e">
        <f>AND('2015'!#REF!,"AAAAAF3x9wg=")</f>
        <v>#REF!</v>
      </c>
      <c r="J50" t="e">
        <f>AND('2015'!BJ195,"AAAAAF3x9wk=")</f>
        <v>#VALUE!</v>
      </c>
      <c r="K50" t="e">
        <f>AND('2015'!BK195,"AAAAAF3x9wo=")</f>
        <v>#VALUE!</v>
      </c>
      <c r="L50" t="e">
        <f>AND('2015'!BL195,"AAAAAF3x9ws=")</f>
        <v>#VALUE!</v>
      </c>
      <c r="M50" t="e">
        <f>AND('2015'!BM195,"AAAAAF3x9ww=")</f>
        <v>#VALUE!</v>
      </c>
      <c r="N50" t="e">
        <f>AND('2015'!BY195,"AAAAAF3x9w0=")</f>
        <v>#VALUE!</v>
      </c>
      <c r="O50" t="str">
        <f>IF('2015'!196:196,"AAAAAF3x9w4=",0)</f>
        <v>AAAAAF3x9w4=</v>
      </c>
      <c r="P50" t="e">
        <f>AND('2015'!A196,"AAAAAF3x9w8=")</f>
        <v>#VALUE!</v>
      </c>
      <c r="Q50" t="e">
        <f>AND('2015'!B196,"AAAAAF3x9xA=")</f>
        <v>#VALUE!</v>
      </c>
      <c r="R50" t="e">
        <f>AND('2015'!C196,"AAAAAF3x9xE=")</f>
        <v>#VALUE!</v>
      </c>
      <c r="S50" t="e">
        <f>AND('2015'!D196,"AAAAAF3x9xI=")</f>
        <v>#VALUE!</v>
      </c>
      <c r="T50" t="e">
        <f>AND('2015'!E196,"AAAAAF3x9xM=")</f>
        <v>#VALUE!</v>
      </c>
      <c r="U50" t="e">
        <f>AND('2015'!F196,"AAAAAF3x9xQ=")</f>
        <v>#VALUE!</v>
      </c>
      <c r="V50" t="e">
        <f>AND('2015'!G196,"AAAAAF3x9xU=")</f>
        <v>#VALUE!</v>
      </c>
      <c r="W50" t="e">
        <f>AND('2015'!H196,"AAAAAF3x9xY=")</f>
        <v>#VALUE!</v>
      </c>
      <c r="X50" t="e">
        <f>AND('2015'!I196,"AAAAAF3x9xc=")</f>
        <v>#VALUE!</v>
      </c>
      <c r="Y50" t="e">
        <f>AND('2015'!J196,"AAAAAF3x9xg=")</f>
        <v>#VALUE!</v>
      </c>
      <c r="Z50" t="e">
        <f>AND('2015'!K196,"AAAAAF3x9xk=")</f>
        <v>#VALUE!</v>
      </c>
      <c r="AA50" t="e">
        <f>AND('2015'!L196,"AAAAAF3x9xo=")</f>
        <v>#VALUE!</v>
      </c>
      <c r="AB50" t="e">
        <f>AND('2015'!M196,"AAAAAF3x9xs=")</f>
        <v>#VALUE!</v>
      </c>
      <c r="AC50" t="e">
        <f>AND('2015'!N196,"AAAAAF3x9xw=")</f>
        <v>#VALUE!</v>
      </c>
      <c r="AD50" t="e">
        <f>AND('2015'!O196,"AAAAAF3x9x0=")</f>
        <v>#VALUE!</v>
      </c>
      <c r="AE50" t="e">
        <f>AND('2015'!P196,"AAAAAF3x9x4=")</f>
        <v>#VALUE!</v>
      </c>
      <c r="AF50" t="e">
        <f>AND('2015'!Q196,"AAAAAF3x9x8=")</f>
        <v>#VALUE!</v>
      </c>
      <c r="AG50" t="e">
        <f>AND('2015'!R196,"AAAAAF3x9yA=")</f>
        <v>#VALUE!</v>
      </c>
      <c r="AH50" t="e">
        <f>AND('2015'!S196,"AAAAAF3x9yE=")</f>
        <v>#VALUE!</v>
      </c>
      <c r="AI50" t="e">
        <f>AND('2015'!T196,"AAAAAF3x9yI=")</f>
        <v>#VALUE!</v>
      </c>
      <c r="AJ50" t="e">
        <f>AND('2015'!U196,"AAAAAF3x9yM=")</f>
        <v>#VALUE!</v>
      </c>
      <c r="AK50" t="e">
        <f>AND('2015'!V196,"AAAAAF3x9yQ=")</f>
        <v>#VALUE!</v>
      </c>
      <c r="AL50" t="e">
        <f>AND('2015'!W196,"AAAAAF3x9yU=")</f>
        <v>#VALUE!</v>
      </c>
      <c r="AM50" t="e">
        <f>AND('2015'!X196,"AAAAAF3x9yY=")</f>
        <v>#VALUE!</v>
      </c>
      <c r="AN50" t="e">
        <f>AND('2015'!Y196,"AAAAAF3x9yc=")</f>
        <v>#VALUE!</v>
      </c>
      <c r="AO50" t="e">
        <f>AND('2015'!Z196,"AAAAAF3x9yg=")</f>
        <v>#VALUE!</v>
      </c>
      <c r="AP50" t="e">
        <f>AND('2015'!AA196,"AAAAAF3x9yk=")</f>
        <v>#VALUE!</v>
      </c>
      <c r="AQ50" t="e">
        <f>AND('2015'!AB196,"AAAAAF3x9yo=")</f>
        <v>#VALUE!</v>
      </c>
      <c r="AR50" t="e">
        <f>AND('2015'!AC196,"AAAAAF3x9ys=")</f>
        <v>#VALUE!</v>
      </c>
      <c r="AS50" t="e">
        <f>AND('2015'!AD196,"AAAAAF3x9yw=")</f>
        <v>#VALUE!</v>
      </c>
      <c r="AT50" t="e">
        <f>AND('2015'!AE196,"AAAAAF3x9y0=")</f>
        <v>#VALUE!</v>
      </c>
      <c r="AU50" t="e">
        <f>AND('2015'!AF196,"AAAAAF3x9y4=")</f>
        <v>#VALUE!</v>
      </c>
      <c r="AV50" t="e">
        <f>AND('2015'!AG196,"AAAAAF3x9y8=")</f>
        <v>#VALUE!</v>
      </c>
      <c r="AW50" t="e">
        <f>AND('2015'!AH196,"AAAAAF3x9zA=")</f>
        <v>#VALUE!</v>
      </c>
      <c r="AX50" t="e">
        <f>AND('2015'!AI196,"AAAAAF3x9zE=")</f>
        <v>#VALUE!</v>
      </c>
      <c r="AY50" t="e">
        <f>AND('2015'!AJ196,"AAAAAF3x9zI=")</f>
        <v>#VALUE!</v>
      </c>
      <c r="AZ50" t="e">
        <f>AND('2015'!AK196,"AAAAAF3x9zM=")</f>
        <v>#VALUE!</v>
      </c>
      <c r="BA50" t="e">
        <f>AND('2015'!AL196,"AAAAAF3x9zQ=")</f>
        <v>#VALUE!</v>
      </c>
      <c r="BB50" t="e">
        <f>AND('2015'!AM196,"AAAAAF3x9zU=")</f>
        <v>#VALUE!</v>
      </c>
      <c r="BC50" t="e">
        <f>AND('2015'!AN196,"AAAAAF3x9zY=")</f>
        <v>#VALUE!</v>
      </c>
      <c r="BD50" t="e">
        <f>AND('2015'!AO196,"AAAAAF3x9zc=")</f>
        <v>#VALUE!</v>
      </c>
      <c r="BE50" t="e">
        <f>AND('2015'!AP196,"AAAAAF3x9zg=")</f>
        <v>#VALUE!</v>
      </c>
      <c r="BF50" t="e">
        <f>AND('2015'!AQ196,"AAAAAF3x9zk=")</f>
        <v>#VALUE!</v>
      </c>
      <c r="BG50" t="e">
        <f>AND('2015'!AR196,"AAAAAF3x9zo=")</f>
        <v>#VALUE!</v>
      </c>
      <c r="BH50" t="e">
        <f>AND('2015'!AS196,"AAAAAF3x9zs=")</f>
        <v>#VALUE!</v>
      </c>
      <c r="BI50" t="e">
        <f>AND('2015'!AT196,"AAAAAF3x9zw=")</f>
        <v>#VALUE!</v>
      </c>
      <c r="BJ50" t="e">
        <f>AND('2015'!#REF!,"AAAAAF3x9z0=")</f>
        <v>#REF!</v>
      </c>
      <c r="BK50" t="e">
        <f>AND('2015'!AU196,"AAAAAF3x9z4=")</f>
        <v>#VALUE!</v>
      </c>
      <c r="BL50" t="e">
        <f>AND('2015'!AV196,"AAAAAF3x9z8=")</f>
        <v>#VALUE!</v>
      </c>
      <c r="BM50" t="e">
        <f>AND('2015'!AW196,"AAAAAF3x90A=")</f>
        <v>#VALUE!</v>
      </c>
      <c r="BN50" t="e">
        <f>AND('2015'!AX196,"AAAAAF3x90E=")</f>
        <v>#VALUE!</v>
      </c>
      <c r="BO50" t="e">
        <f>AND('2015'!AY196,"AAAAAF3x90I=")</f>
        <v>#VALUE!</v>
      </c>
      <c r="BP50" t="e">
        <f>AND('2015'!AZ196,"AAAAAF3x90M=")</f>
        <v>#VALUE!</v>
      </c>
      <c r="BQ50" t="e">
        <f>AND('2015'!BA196,"AAAAAF3x90Q=")</f>
        <v>#VALUE!</v>
      </c>
      <c r="BR50" t="e">
        <f>AND('2015'!BB196,"AAAAAF3x90U=")</f>
        <v>#VALUE!</v>
      </c>
      <c r="BS50" t="e">
        <f>AND('2015'!BC196,"AAAAAF3x90Y=")</f>
        <v>#VALUE!</v>
      </c>
      <c r="BT50" t="e">
        <f>AND('2015'!BD196,"AAAAAF3x90c=")</f>
        <v>#VALUE!</v>
      </c>
      <c r="BU50" t="e">
        <f>AND('2015'!BE196,"AAAAAF3x90g=")</f>
        <v>#VALUE!</v>
      </c>
      <c r="BV50" t="e">
        <f>AND('2015'!BF196,"AAAAAF3x90k=")</f>
        <v>#VALUE!</v>
      </c>
      <c r="BW50" t="e">
        <f>AND('2015'!BG196,"AAAAAF3x90o=")</f>
        <v>#VALUE!</v>
      </c>
      <c r="BX50" t="e">
        <f>AND('2015'!BH196,"AAAAAF3x90s=")</f>
        <v>#VALUE!</v>
      </c>
      <c r="BY50" t="e">
        <f>AND('2015'!BI196,"AAAAAF3x90w=")</f>
        <v>#VALUE!</v>
      </c>
      <c r="BZ50" t="e">
        <f>AND('2015'!#REF!,"AAAAAF3x900=")</f>
        <v>#REF!</v>
      </c>
      <c r="CA50" t="e">
        <f>AND('2015'!BJ196,"AAAAAF3x904=")</f>
        <v>#VALUE!</v>
      </c>
      <c r="CB50" t="e">
        <f>AND('2015'!BK196,"AAAAAF3x908=")</f>
        <v>#VALUE!</v>
      </c>
      <c r="CC50" t="e">
        <f>AND('2015'!BL196,"AAAAAF3x91A=")</f>
        <v>#VALUE!</v>
      </c>
      <c r="CD50" t="e">
        <f>AND('2015'!BM196,"AAAAAF3x91E=")</f>
        <v>#VALUE!</v>
      </c>
      <c r="CE50" t="e">
        <f>AND('2015'!BY196,"AAAAAF3x91I=")</f>
        <v>#VALUE!</v>
      </c>
      <c r="CF50" t="str">
        <f>IF('2015'!197:197,"AAAAAF3x91M=",0)</f>
        <v>AAAAAF3x91M=</v>
      </c>
      <c r="CG50" t="e">
        <f>AND('2015'!A197,"AAAAAF3x91Q=")</f>
        <v>#VALUE!</v>
      </c>
      <c r="CH50" t="e">
        <f>AND('2015'!B197,"AAAAAF3x91U=")</f>
        <v>#VALUE!</v>
      </c>
      <c r="CI50" t="e">
        <f>AND('2015'!C197,"AAAAAF3x91Y=")</f>
        <v>#VALUE!</v>
      </c>
      <c r="CJ50" t="e">
        <f>AND('2015'!D197,"AAAAAF3x91c=")</f>
        <v>#VALUE!</v>
      </c>
      <c r="CK50" t="e">
        <f>AND('2015'!E197,"AAAAAF3x91g=")</f>
        <v>#VALUE!</v>
      </c>
      <c r="CL50" t="e">
        <f>AND('2015'!F197,"AAAAAF3x91k=")</f>
        <v>#VALUE!</v>
      </c>
      <c r="CM50" t="e">
        <f>AND('2015'!G197,"AAAAAF3x91o=")</f>
        <v>#VALUE!</v>
      </c>
      <c r="CN50" t="e">
        <f>AND('2015'!H197,"AAAAAF3x91s=")</f>
        <v>#VALUE!</v>
      </c>
      <c r="CO50" t="e">
        <f>AND('2015'!I197,"AAAAAF3x91w=")</f>
        <v>#VALUE!</v>
      </c>
      <c r="CP50" t="e">
        <f>AND('2015'!J197,"AAAAAF3x910=")</f>
        <v>#VALUE!</v>
      </c>
      <c r="CQ50" t="e">
        <f>AND('2015'!K197,"AAAAAF3x914=")</f>
        <v>#VALUE!</v>
      </c>
      <c r="CR50" t="e">
        <f>AND('2015'!L197,"AAAAAF3x918=")</f>
        <v>#VALUE!</v>
      </c>
      <c r="CS50" t="e">
        <f>AND('2015'!M197,"AAAAAF3x92A=")</f>
        <v>#VALUE!</v>
      </c>
      <c r="CT50" t="e">
        <f>AND('2015'!N197,"AAAAAF3x92E=")</f>
        <v>#VALUE!</v>
      </c>
      <c r="CU50" t="e">
        <f>AND('2015'!O197,"AAAAAF3x92I=")</f>
        <v>#VALUE!</v>
      </c>
      <c r="CV50" t="e">
        <f>AND('2015'!P197,"AAAAAF3x92M=")</f>
        <v>#VALUE!</v>
      </c>
      <c r="CW50" t="e">
        <f>AND('2015'!Q197,"AAAAAF3x92Q=")</f>
        <v>#VALUE!</v>
      </c>
      <c r="CX50" t="e">
        <f>AND('2015'!R197,"AAAAAF3x92U=")</f>
        <v>#VALUE!</v>
      </c>
      <c r="CY50" t="e">
        <f>AND('2015'!S197,"AAAAAF3x92Y=")</f>
        <v>#VALUE!</v>
      </c>
      <c r="CZ50" t="e">
        <f>AND('2015'!T197,"AAAAAF3x92c=")</f>
        <v>#VALUE!</v>
      </c>
      <c r="DA50" t="e">
        <f>AND('2015'!U197,"AAAAAF3x92g=")</f>
        <v>#VALUE!</v>
      </c>
      <c r="DB50" t="e">
        <f>AND('2015'!V197,"AAAAAF3x92k=")</f>
        <v>#VALUE!</v>
      </c>
      <c r="DC50" t="e">
        <f>AND('2015'!W197,"AAAAAF3x92o=")</f>
        <v>#VALUE!</v>
      </c>
      <c r="DD50" t="e">
        <f>AND('2015'!X197,"AAAAAF3x92s=")</f>
        <v>#VALUE!</v>
      </c>
      <c r="DE50" t="e">
        <f>AND('2015'!Y197,"AAAAAF3x92w=")</f>
        <v>#VALUE!</v>
      </c>
      <c r="DF50" t="e">
        <f>AND('2015'!Z197,"AAAAAF3x920=")</f>
        <v>#VALUE!</v>
      </c>
      <c r="DG50" t="e">
        <f>AND('2015'!AA197,"AAAAAF3x924=")</f>
        <v>#VALUE!</v>
      </c>
      <c r="DH50" t="e">
        <f>AND('2015'!AB197,"AAAAAF3x928=")</f>
        <v>#VALUE!</v>
      </c>
      <c r="DI50" t="e">
        <f>AND('2015'!AC197,"AAAAAF3x93A=")</f>
        <v>#VALUE!</v>
      </c>
      <c r="DJ50" t="e">
        <f>AND('2015'!AD197,"AAAAAF3x93E=")</f>
        <v>#VALUE!</v>
      </c>
      <c r="DK50" t="e">
        <f>AND('2015'!AE197,"AAAAAF3x93I=")</f>
        <v>#VALUE!</v>
      </c>
      <c r="DL50" t="e">
        <f>AND('2015'!AF197,"AAAAAF3x93M=")</f>
        <v>#VALUE!</v>
      </c>
      <c r="DM50" t="e">
        <f>AND('2015'!AG197,"AAAAAF3x93Q=")</f>
        <v>#VALUE!</v>
      </c>
      <c r="DN50" t="e">
        <f>AND('2015'!AH197,"AAAAAF3x93U=")</f>
        <v>#VALUE!</v>
      </c>
      <c r="DO50" t="e">
        <f>AND('2015'!AI197,"AAAAAF3x93Y=")</f>
        <v>#VALUE!</v>
      </c>
      <c r="DP50" t="e">
        <f>AND('2015'!AJ197,"AAAAAF3x93c=")</f>
        <v>#VALUE!</v>
      </c>
      <c r="DQ50" t="e">
        <f>AND('2015'!AK197,"AAAAAF3x93g=")</f>
        <v>#VALUE!</v>
      </c>
      <c r="DR50" t="e">
        <f>AND('2015'!AL197,"AAAAAF3x93k=")</f>
        <v>#VALUE!</v>
      </c>
      <c r="DS50" t="e">
        <f>AND('2015'!AM197,"AAAAAF3x93o=")</f>
        <v>#VALUE!</v>
      </c>
      <c r="DT50" t="e">
        <f>AND('2015'!AN197,"AAAAAF3x93s=")</f>
        <v>#VALUE!</v>
      </c>
      <c r="DU50" t="e">
        <f>AND('2015'!AO197,"AAAAAF3x93w=")</f>
        <v>#VALUE!</v>
      </c>
      <c r="DV50" t="e">
        <f>AND('2015'!AP197,"AAAAAF3x930=")</f>
        <v>#VALUE!</v>
      </c>
      <c r="DW50" t="e">
        <f>AND('2015'!AQ197,"AAAAAF3x934=")</f>
        <v>#VALUE!</v>
      </c>
      <c r="DX50" t="e">
        <f>AND('2015'!AR197,"AAAAAF3x938=")</f>
        <v>#VALUE!</v>
      </c>
      <c r="DY50" t="e">
        <f>AND('2015'!AS197,"AAAAAF3x94A=")</f>
        <v>#VALUE!</v>
      </c>
      <c r="DZ50" t="e">
        <f>AND('2015'!AT197,"AAAAAF3x94E=")</f>
        <v>#VALUE!</v>
      </c>
      <c r="EA50" t="e">
        <f>AND('2015'!#REF!,"AAAAAF3x94I=")</f>
        <v>#REF!</v>
      </c>
      <c r="EB50" t="e">
        <f>AND('2015'!AU197,"AAAAAF3x94M=")</f>
        <v>#VALUE!</v>
      </c>
      <c r="EC50" t="e">
        <f>AND('2015'!AV197,"AAAAAF3x94Q=")</f>
        <v>#VALUE!</v>
      </c>
      <c r="ED50" t="e">
        <f>AND('2015'!AW197,"AAAAAF3x94U=")</f>
        <v>#VALUE!</v>
      </c>
      <c r="EE50" t="e">
        <f>AND('2015'!AX197,"AAAAAF3x94Y=")</f>
        <v>#VALUE!</v>
      </c>
      <c r="EF50" t="e">
        <f>AND('2015'!AY197,"AAAAAF3x94c=")</f>
        <v>#VALUE!</v>
      </c>
      <c r="EG50" t="e">
        <f>AND('2015'!AZ197,"AAAAAF3x94g=")</f>
        <v>#VALUE!</v>
      </c>
      <c r="EH50" t="e">
        <f>AND('2015'!BA197,"AAAAAF3x94k=")</f>
        <v>#VALUE!</v>
      </c>
      <c r="EI50" t="e">
        <f>AND('2015'!BB197,"AAAAAF3x94o=")</f>
        <v>#VALUE!</v>
      </c>
      <c r="EJ50" t="e">
        <f>AND('2015'!BC197,"AAAAAF3x94s=")</f>
        <v>#VALUE!</v>
      </c>
      <c r="EK50" t="e">
        <f>AND('2015'!BD197,"AAAAAF3x94w=")</f>
        <v>#VALUE!</v>
      </c>
      <c r="EL50" t="e">
        <f>AND('2015'!BE197,"AAAAAF3x940=")</f>
        <v>#VALUE!</v>
      </c>
      <c r="EM50" t="e">
        <f>AND('2015'!BF197,"AAAAAF3x944=")</f>
        <v>#VALUE!</v>
      </c>
      <c r="EN50" t="e">
        <f>AND('2015'!BG197,"AAAAAF3x948=")</f>
        <v>#VALUE!</v>
      </c>
      <c r="EO50" t="e">
        <f>AND('2015'!BH197,"AAAAAF3x95A=")</f>
        <v>#VALUE!</v>
      </c>
      <c r="EP50" t="e">
        <f>AND('2015'!BI197,"AAAAAF3x95E=")</f>
        <v>#VALUE!</v>
      </c>
      <c r="EQ50" t="e">
        <f>AND('2015'!#REF!,"AAAAAF3x95I=")</f>
        <v>#REF!</v>
      </c>
      <c r="ER50" t="e">
        <f>AND('2015'!BJ197,"AAAAAF3x95M=")</f>
        <v>#VALUE!</v>
      </c>
      <c r="ES50" t="e">
        <f>AND('2015'!BK197,"AAAAAF3x95Q=")</f>
        <v>#VALUE!</v>
      </c>
      <c r="ET50" t="e">
        <f>AND('2015'!BL197,"AAAAAF3x95U=")</f>
        <v>#VALUE!</v>
      </c>
      <c r="EU50" t="e">
        <f>AND('2015'!BM197,"AAAAAF3x95Y=")</f>
        <v>#VALUE!</v>
      </c>
      <c r="EV50" t="e">
        <f>AND('2015'!BY197,"AAAAAF3x95c=")</f>
        <v>#VALUE!</v>
      </c>
      <c r="EW50" t="e">
        <f>IF('2015'!#REF!,"AAAAAF3x95g=",0)</f>
        <v>#REF!</v>
      </c>
      <c r="EX50" t="e">
        <f>AND('2015'!#REF!,"AAAAAF3x95k=")</f>
        <v>#REF!</v>
      </c>
      <c r="EY50" t="e">
        <f>AND('2015'!#REF!,"AAAAAF3x95o=")</f>
        <v>#REF!</v>
      </c>
      <c r="EZ50" t="e">
        <f>AND('2015'!#REF!,"AAAAAF3x95s=")</f>
        <v>#REF!</v>
      </c>
      <c r="FA50" t="e">
        <f>AND('2015'!#REF!,"AAAAAF3x95w=")</f>
        <v>#REF!</v>
      </c>
      <c r="FB50" t="e">
        <f>AND('2015'!#REF!,"AAAAAF3x950=")</f>
        <v>#REF!</v>
      </c>
      <c r="FC50" t="e">
        <f>AND('2015'!#REF!,"AAAAAF3x954=")</f>
        <v>#REF!</v>
      </c>
      <c r="FD50" t="e">
        <f>AND('2015'!#REF!,"AAAAAF3x958=")</f>
        <v>#REF!</v>
      </c>
      <c r="FE50" t="e">
        <f>AND('2015'!#REF!,"AAAAAF3x96A=")</f>
        <v>#REF!</v>
      </c>
      <c r="FF50" t="e">
        <f>AND('2015'!#REF!,"AAAAAF3x96E=")</f>
        <v>#REF!</v>
      </c>
      <c r="FG50" t="e">
        <f>AND('2015'!#REF!,"AAAAAF3x96I=")</f>
        <v>#REF!</v>
      </c>
      <c r="FH50" t="e">
        <f>AND('2015'!#REF!,"AAAAAF3x96M=")</f>
        <v>#REF!</v>
      </c>
      <c r="FI50" t="e">
        <f>AND('2015'!#REF!,"AAAAAF3x96Q=")</f>
        <v>#REF!</v>
      </c>
      <c r="FJ50" t="e">
        <f>AND('2015'!#REF!,"AAAAAF3x96U=")</f>
        <v>#REF!</v>
      </c>
      <c r="FK50" t="e">
        <f>AND('2015'!#REF!,"AAAAAF3x96Y=")</f>
        <v>#REF!</v>
      </c>
      <c r="FL50" t="e">
        <f>AND('2015'!#REF!,"AAAAAF3x96c=")</f>
        <v>#REF!</v>
      </c>
      <c r="FM50" t="e">
        <f>AND('2015'!#REF!,"AAAAAF3x96g=")</f>
        <v>#REF!</v>
      </c>
      <c r="FN50" t="e">
        <f>AND('2015'!#REF!,"AAAAAF3x96k=")</f>
        <v>#REF!</v>
      </c>
      <c r="FO50" t="e">
        <f>AND('2015'!#REF!,"AAAAAF3x96o=")</f>
        <v>#REF!</v>
      </c>
      <c r="FP50" t="e">
        <f>AND('2015'!#REF!,"AAAAAF3x96s=")</f>
        <v>#REF!</v>
      </c>
      <c r="FQ50" t="e">
        <f>AND('2015'!#REF!,"AAAAAF3x96w=")</f>
        <v>#REF!</v>
      </c>
      <c r="FR50" t="e">
        <f>AND('2015'!#REF!,"AAAAAF3x960=")</f>
        <v>#REF!</v>
      </c>
      <c r="FS50" t="e">
        <f>AND('2015'!#REF!,"AAAAAF3x964=")</f>
        <v>#REF!</v>
      </c>
      <c r="FT50" t="e">
        <f>AND('2015'!#REF!,"AAAAAF3x968=")</f>
        <v>#REF!</v>
      </c>
      <c r="FU50" t="e">
        <f>AND('2015'!#REF!,"AAAAAF3x97A=")</f>
        <v>#REF!</v>
      </c>
      <c r="FV50" t="e">
        <f>AND('2015'!#REF!,"AAAAAF3x97E=")</f>
        <v>#REF!</v>
      </c>
      <c r="FW50" t="e">
        <f>AND('2015'!#REF!,"AAAAAF3x97I=")</f>
        <v>#REF!</v>
      </c>
      <c r="FX50" t="e">
        <f>AND('2015'!#REF!,"AAAAAF3x97M=")</f>
        <v>#REF!</v>
      </c>
      <c r="FY50" t="e">
        <f>AND('2015'!#REF!,"AAAAAF3x97Q=")</f>
        <v>#REF!</v>
      </c>
      <c r="FZ50" t="e">
        <f>AND('2015'!#REF!,"AAAAAF3x97U=")</f>
        <v>#REF!</v>
      </c>
      <c r="GA50" t="e">
        <f>AND('2015'!#REF!,"AAAAAF3x97Y=")</f>
        <v>#REF!</v>
      </c>
      <c r="GB50" t="e">
        <f>AND('2015'!#REF!,"AAAAAF3x97c=")</f>
        <v>#REF!</v>
      </c>
      <c r="GC50" t="e">
        <f>AND('2015'!#REF!,"AAAAAF3x97g=")</f>
        <v>#REF!</v>
      </c>
      <c r="GD50" t="e">
        <f>AND('2015'!#REF!,"AAAAAF3x97k=")</f>
        <v>#REF!</v>
      </c>
      <c r="GE50" t="e">
        <f>AND('2015'!#REF!,"AAAAAF3x97o=")</f>
        <v>#REF!</v>
      </c>
      <c r="GF50" t="e">
        <f>AND('2015'!#REF!,"AAAAAF3x97s=")</f>
        <v>#REF!</v>
      </c>
      <c r="GG50" t="e">
        <f>AND('2015'!#REF!,"AAAAAF3x97w=")</f>
        <v>#REF!</v>
      </c>
      <c r="GH50" t="e">
        <f>AND('2015'!#REF!,"AAAAAF3x970=")</f>
        <v>#REF!</v>
      </c>
      <c r="GI50" t="e">
        <f>AND('2015'!#REF!,"AAAAAF3x974=")</f>
        <v>#REF!</v>
      </c>
      <c r="GJ50" t="e">
        <f>AND('2015'!#REF!,"AAAAAF3x978=")</f>
        <v>#REF!</v>
      </c>
      <c r="GK50" t="e">
        <f>AND('2015'!#REF!,"AAAAAF3x98A=")</f>
        <v>#REF!</v>
      </c>
      <c r="GL50" t="e">
        <f>AND('2015'!#REF!,"AAAAAF3x98E=")</f>
        <v>#REF!</v>
      </c>
      <c r="GM50" t="e">
        <f>AND('2015'!#REF!,"AAAAAF3x98I=")</f>
        <v>#REF!</v>
      </c>
      <c r="GN50" t="e">
        <f>AND('2015'!#REF!,"AAAAAF3x98M=")</f>
        <v>#REF!</v>
      </c>
      <c r="GO50" t="e">
        <f>AND('2015'!#REF!,"AAAAAF3x98Q=")</f>
        <v>#REF!</v>
      </c>
      <c r="GP50" t="e">
        <f>AND('2015'!#REF!,"AAAAAF3x98U=")</f>
        <v>#REF!</v>
      </c>
      <c r="GQ50" t="e">
        <f>AND('2015'!#REF!,"AAAAAF3x98Y=")</f>
        <v>#REF!</v>
      </c>
      <c r="GR50" t="e">
        <f>AND('2015'!#REF!,"AAAAAF3x98c=")</f>
        <v>#REF!</v>
      </c>
      <c r="GS50" t="e">
        <f>AND('2015'!#REF!,"AAAAAF3x98g=")</f>
        <v>#REF!</v>
      </c>
      <c r="GT50" t="e">
        <f>AND('2015'!#REF!,"AAAAAF3x98k=")</f>
        <v>#REF!</v>
      </c>
      <c r="GU50" t="e">
        <f>AND('2015'!#REF!,"AAAAAF3x98o=")</f>
        <v>#REF!</v>
      </c>
      <c r="GV50" t="e">
        <f>AND('2015'!#REF!,"AAAAAF3x98s=")</f>
        <v>#REF!</v>
      </c>
      <c r="GW50" t="e">
        <f>AND('2015'!#REF!,"AAAAAF3x98w=")</f>
        <v>#REF!</v>
      </c>
      <c r="GX50" t="e">
        <f>AND('2015'!#REF!,"AAAAAF3x980=")</f>
        <v>#REF!</v>
      </c>
      <c r="GY50" t="e">
        <f>AND('2015'!#REF!,"AAAAAF3x984=")</f>
        <v>#REF!</v>
      </c>
      <c r="GZ50" t="e">
        <f>AND('2015'!#REF!,"AAAAAF3x988=")</f>
        <v>#REF!</v>
      </c>
      <c r="HA50" t="e">
        <f>AND('2015'!#REF!,"AAAAAF3x99A=")</f>
        <v>#REF!</v>
      </c>
      <c r="HB50" t="e">
        <f>AND('2015'!#REF!,"AAAAAF3x99E=")</f>
        <v>#REF!</v>
      </c>
      <c r="HC50" t="e">
        <f>AND('2015'!#REF!,"AAAAAF3x99I=")</f>
        <v>#REF!</v>
      </c>
      <c r="HD50" t="e">
        <f>AND('2015'!#REF!,"AAAAAF3x99M=")</f>
        <v>#REF!</v>
      </c>
      <c r="HE50" t="e">
        <f>AND('2015'!#REF!,"AAAAAF3x99Q=")</f>
        <v>#REF!</v>
      </c>
      <c r="HF50" t="e">
        <f>AND('2015'!#REF!,"AAAAAF3x99U=")</f>
        <v>#REF!</v>
      </c>
      <c r="HG50" t="e">
        <f>AND('2015'!#REF!,"AAAAAF3x99Y=")</f>
        <v>#REF!</v>
      </c>
      <c r="HH50" t="e">
        <f>AND('2015'!#REF!,"AAAAAF3x99c=")</f>
        <v>#REF!</v>
      </c>
      <c r="HI50" t="e">
        <f>AND('2015'!#REF!,"AAAAAF3x99g=")</f>
        <v>#REF!</v>
      </c>
      <c r="HJ50" t="e">
        <f>AND('2015'!#REF!,"AAAAAF3x99k=")</f>
        <v>#REF!</v>
      </c>
      <c r="HK50" t="e">
        <f>AND('2015'!#REF!,"AAAAAF3x99o=")</f>
        <v>#REF!</v>
      </c>
      <c r="HL50" t="e">
        <f>AND('2015'!#REF!,"AAAAAF3x99s=")</f>
        <v>#REF!</v>
      </c>
      <c r="HM50" t="e">
        <f>AND('2015'!#REF!,"AAAAAF3x99w=")</f>
        <v>#REF!</v>
      </c>
      <c r="HN50" t="e">
        <f>IF('2015'!#REF!,"AAAAAF3x990=",0)</f>
        <v>#REF!</v>
      </c>
      <c r="HO50" t="e">
        <f>AND('2015'!#REF!,"AAAAAF3x994=")</f>
        <v>#REF!</v>
      </c>
      <c r="HP50" t="e">
        <f>AND('2015'!#REF!,"AAAAAF3x998=")</f>
        <v>#REF!</v>
      </c>
      <c r="HQ50" t="e">
        <f>AND('2015'!#REF!,"AAAAAF3x9+A=")</f>
        <v>#REF!</v>
      </c>
      <c r="HR50" t="e">
        <f>AND('2015'!#REF!,"AAAAAF3x9+E=")</f>
        <v>#REF!</v>
      </c>
      <c r="HS50" t="e">
        <f>AND('2015'!#REF!,"AAAAAF3x9+I=")</f>
        <v>#REF!</v>
      </c>
      <c r="HT50" t="e">
        <f>AND('2015'!#REF!,"AAAAAF3x9+M=")</f>
        <v>#REF!</v>
      </c>
      <c r="HU50" t="e">
        <f>AND('2015'!#REF!,"AAAAAF3x9+Q=")</f>
        <v>#REF!</v>
      </c>
      <c r="HV50" t="e">
        <f>AND('2015'!#REF!,"AAAAAF3x9+U=")</f>
        <v>#REF!</v>
      </c>
      <c r="HW50" t="e">
        <f>AND('2015'!#REF!,"AAAAAF3x9+Y=")</f>
        <v>#REF!</v>
      </c>
      <c r="HX50" t="e">
        <f>AND('2015'!#REF!,"AAAAAF3x9+c=")</f>
        <v>#REF!</v>
      </c>
      <c r="HY50" t="e">
        <f>AND('2015'!#REF!,"AAAAAF3x9+g=")</f>
        <v>#REF!</v>
      </c>
      <c r="HZ50" t="e">
        <f>AND('2015'!#REF!,"AAAAAF3x9+k=")</f>
        <v>#REF!</v>
      </c>
      <c r="IA50" t="e">
        <f>AND('2015'!#REF!,"AAAAAF3x9+o=")</f>
        <v>#REF!</v>
      </c>
      <c r="IB50" t="e">
        <f>AND('2015'!#REF!,"AAAAAF3x9+s=")</f>
        <v>#REF!</v>
      </c>
      <c r="IC50" t="e">
        <f>AND('2015'!#REF!,"AAAAAF3x9+w=")</f>
        <v>#REF!</v>
      </c>
      <c r="ID50" t="e">
        <f>AND('2015'!#REF!,"AAAAAF3x9+0=")</f>
        <v>#REF!</v>
      </c>
      <c r="IE50" t="e">
        <f>AND('2015'!#REF!,"AAAAAF3x9+4=")</f>
        <v>#REF!</v>
      </c>
      <c r="IF50" t="e">
        <f>AND('2015'!#REF!,"AAAAAF3x9+8=")</f>
        <v>#REF!</v>
      </c>
      <c r="IG50" t="e">
        <f>AND('2015'!#REF!,"AAAAAF3x9/A=")</f>
        <v>#REF!</v>
      </c>
      <c r="IH50" t="e">
        <f>AND('2015'!#REF!,"AAAAAF3x9/E=")</f>
        <v>#REF!</v>
      </c>
      <c r="II50" t="e">
        <f>AND('2015'!#REF!,"AAAAAF3x9/I=")</f>
        <v>#REF!</v>
      </c>
      <c r="IJ50" t="e">
        <f>AND('2015'!#REF!,"AAAAAF3x9/M=")</f>
        <v>#REF!</v>
      </c>
      <c r="IK50" t="e">
        <f>AND('2015'!#REF!,"AAAAAF3x9/Q=")</f>
        <v>#REF!</v>
      </c>
      <c r="IL50" t="e">
        <f>AND('2015'!#REF!,"AAAAAF3x9/U=")</f>
        <v>#REF!</v>
      </c>
      <c r="IM50" t="e">
        <f>AND('2015'!#REF!,"AAAAAF3x9/Y=")</f>
        <v>#REF!</v>
      </c>
      <c r="IN50" t="e">
        <f>AND('2015'!#REF!,"AAAAAF3x9/c=")</f>
        <v>#REF!</v>
      </c>
      <c r="IO50" t="e">
        <f>AND('2015'!#REF!,"AAAAAF3x9/g=")</f>
        <v>#REF!</v>
      </c>
      <c r="IP50" t="e">
        <f>AND('2015'!#REF!,"AAAAAF3x9/k=")</f>
        <v>#REF!</v>
      </c>
      <c r="IQ50" t="e">
        <f>AND('2015'!#REF!,"AAAAAF3x9/o=")</f>
        <v>#REF!</v>
      </c>
      <c r="IR50" t="e">
        <f>AND('2015'!#REF!,"AAAAAF3x9/s=")</f>
        <v>#REF!</v>
      </c>
      <c r="IS50" t="e">
        <f>AND('2015'!#REF!,"AAAAAF3x9/w=")</f>
        <v>#REF!</v>
      </c>
      <c r="IT50" t="e">
        <f>AND('2015'!#REF!,"AAAAAF3x9/0=")</f>
        <v>#REF!</v>
      </c>
      <c r="IU50" t="e">
        <f>AND('2015'!#REF!,"AAAAAF3x9/4=")</f>
        <v>#REF!</v>
      </c>
      <c r="IV50" t="e">
        <f>AND('2015'!#REF!,"AAAAAF3x9/8=")</f>
        <v>#REF!</v>
      </c>
    </row>
    <row r="51" spans="1:256" x14ac:dyDescent="0.25">
      <c r="A51" t="e">
        <f>AND('2015'!#REF!,"AAAAAHvovwA=")</f>
        <v>#REF!</v>
      </c>
      <c r="B51" t="e">
        <f>AND('2015'!#REF!,"AAAAAHvovwE=")</f>
        <v>#REF!</v>
      </c>
      <c r="C51" t="e">
        <f>AND('2015'!#REF!,"AAAAAHvovwI=")</f>
        <v>#REF!</v>
      </c>
      <c r="D51" t="e">
        <f>AND('2015'!#REF!,"AAAAAHvovwM=")</f>
        <v>#REF!</v>
      </c>
      <c r="E51" t="e">
        <f>AND('2015'!#REF!,"AAAAAHvovwQ=")</f>
        <v>#REF!</v>
      </c>
      <c r="F51" t="e">
        <f>AND('2015'!#REF!,"AAAAAHvovwU=")</f>
        <v>#REF!</v>
      </c>
      <c r="G51" t="e">
        <f>AND('2015'!#REF!,"AAAAAHvovwY=")</f>
        <v>#REF!</v>
      </c>
      <c r="H51" t="e">
        <f>AND('2015'!#REF!,"AAAAAHvovwc=")</f>
        <v>#REF!</v>
      </c>
      <c r="I51" t="e">
        <f>AND('2015'!#REF!,"AAAAAHvovwg=")</f>
        <v>#REF!</v>
      </c>
      <c r="J51" t="e">
        <f>AND('2015'!#REF!,"AAAAAHvovwk=")</f>
        <v>#REF!</v>
      </c>
      <c r="K51" t="e">
        <f>AND('2015'!#REF!,"AAAAAHvovwo=")</f>
        <v>#REF!</v>
      </c>
      <c r="L51" t="e">
        <f>AND('2015'!#REF!,"AAAAAHvovws=")</f>
        <v>#REF!</v>
      </c>
      <c r="M51" t="e">
        <f>AND('2015'!#REF!,"AAAAAHvovww=")</f>
        <v>#REF!</v>
      </c>
      <c r="N51" t="e">
        <f>AND('2015'!#REF!,"AAAAAHvovw0=")</f>
        <v>#REF!</v>
      </c>
      <c r="O51" t="e">
        <f>AND('2015'!#REF!,"AAAAAHvovw4=")</f>
        <v>#REF!</v>
      </c>
      <c r="P51" t="e">
        <f>AND('2015'!#REF!,"AAAAAHvovw8=")</f>
        <v>#REF!</v>
      </c>
      <c r="Q51" t="e">
        <f>AND('2015'!#REF!,"AAAAAHvovxA=")</f>
        <v>#REF!</v>
      </c>
      <c r="R51" t="e">
        <f>AND('2015'!#REF!,"AAAAAHvovxE=")</f>
        <v>#REF!</v>
      </c>
      <c r="S51" t="e">
        <f>AND('2015'!#REF!,"AAAAAHvovxI=")</f>
        <v>#REF!</v>
      </c>
      <c r="T51" t="e">
        <f>AND('2015'!#REF!,"AAAAAHvovxM=")</f>
        <v>#REF!</v>
      </c>
      <c r="U51" t="e">
        <f>AND('2015'!#REF!,"AAAAAHvovxQ=")</f>
        <v>#REF!</v>
      </c>
      <c r="V51" t="e">
        <f>AND('2015'!#REF!,"AAAAAHvovxU=")</f>
        <v>#REF!</v>
      </c>
      <c r="W51" t="e">
        <f>AND('2015'!#REF!,"AAAAAHvovxY=")</f>
        <v>#REF!</v>
      </c>
      <c r="X51" t="e">
        <f>AND('2015'!#REF!,"AAAAAHvovxc=")</f>
        <v>#REF!</v>
      </c>
      <c r="Y51" t="e">
        <f>AND('2015'!#REF!,"AAAAAHvovxg=")</f>
        <v>#REF!</v>
      </c>
      <c r="Z51" t="e">
        <f>AND('2015'!#REF!,"AAAAAHvovxk=")</f>
        <v>#REF!</v>
      </c>
      <c r="AA51" t="e">
        <f>AND('2015'!#REF!,"AAAAAHvovxo=")</f>
        <v>#REF!</v>
      </c>
      <c r="AB51" t="e">
        <f>AND('2015'!#REF!,"AAAAAHvovxs=")</f>
        <v>#REF!</v>
      </c>
      <c r="AC51" t="e">
        <f>AND('2015'!#REF!,"AAAAAHvovxw=")</f>
        <v>#REF!</v>
      </c>
      <c r="AD51" t="e">
        <f>AND('2015'!#REF!,"AAAAAHvovx0=")</f>
        <v>#REF!</v>
      </c>
      <c r="AE51" t="e">
        <f>AND('2015'!#REF!,"AAAAAHvovx4=")</f>
        <v>#REF!</v>
      </c>
      <c r="AF51" t="e">
        <f>AND('2015'!#REF!,"AAAAAHvovx8=")</f>
        <v>#REF!</v>
      </c>
      <c r="AG51" t="e">
        <f>AND('2015'!#REF!,"AAAAAHvovyA=")</f>
        <v>#REF!</v>
      </c>
      <c r="AH51" t="e">
        <f>AND('2015'!#REF!,"AAAAAHvovyE=")</f>
        <v>#REF!</v>
      </c>
      <c r="AI51">
        <f>IF('2015'!198:198,"AAAAAHvovyI=",0)</f>
        <v>0</v>
      </c>
      <c r="AJ51">
        <f>IF('2015'!199:199,"AAAAAHvovyM=",0)</f>
        <v>0</v>
      </c>
      <c r="AK51">
        <f>IF('2015'!A:A,"AAAAAHvovyQ=",0)</f>
        <v>0</v>
      </c>
      <c r="AL51">
        <f>IF('2015'!B:B,"AAAAAHvovyU=",0)</f>
        <v>0</v>
      </c>
      <c r="AM51">
        <f>IF('2015'!C:C,"AAAAAHvovyY=",0)</f>
        <v>0</v>
      </c>
      <c r="AN51">
        <f>IF('2015'!D:D,"AAAAAHvovyc=",0)</f>
        <v>0</v>
      </c>
      <c r="AO51" t="e">
        <f>IF('2015'!E:E,"AAAAAHvovyg=",0)</f>
        <v>#VALUE!</v>
      </c>
      <c r="AP51">
        <f>IF('2015'!F:F,"AAAAAHvovyk=",0)</f>
        <v>0</v>
      </c>
      <c r="AQ51" t="str">
        <f>IF('2015'!G:G,"AAAAAHvovyo=",0)</f>
        <v>AAAAAHvovyo=</v>
      </c>
      <c r="AR51">
        <f>IF('2015'!H:H,"AAAAAHvovys=",0)</f>
        <v>0</v>
      </c>
      <c r="AS51">
        <f>IF('2015'!I:I,"AAAAAHvovyw=",0)</f>
        <v>0</v>
      </c>
      <c r="AT51">
        <f>IF('2015'!J:J,"AAAAAHvovy0=",0)</f>
        <v>0</v>
      </c>
      <c r="AU51">
        <f>IF('2015'!K:K,"AAAAAHvovy4=",0)</f>
        <v>0</v>
      </c>
      <c r="AV51">
        <f>IF('2015'!L:L,"AAAAAHvovy8=",0)</f>
        <v>0</v>
      </c>
      <c r="AW51">
        <f>IF('2015'!M:M,"AAAAAHvovzA=",0)</f>
        <v>0</v>
      </c>
      <c r="AX51">
        <f>IF('2015'!N:N,"AAAAAHvovzE=",0)</f>
        <v>0</v>
      </c>
      <c r="AY51">
        <f>IF('2015'!O:O,"AAAAAHvovzI=",0)</f>
        <v>0</v>
      </c>
      <c r="AZ51">
        <f>IF('2015'!P:P,"AAAAAHvovzM=",0)</f>
        <v>0</v>
      </c>
      <c r="BA51">
        <f>IF('2015'!Q:Q,"AAAAAHvovzQ=",0)</f>
        <v>0</v>
      </c>
      <c r="BB51">
        <f>IF('2015'!R:R,"AAAAAHvovzU=",0)</f>
        <v>0</v>
      </c>
      <c r="BC51">
        <f>IF('2015'!S:S,"AAAAAHvovzY=",0)</f>
        <v>0</v>
      </c>
      <c r="BD51">
        <f>IF('2015'!T:T,"AAAAAHvovzc=",0)</f>
        <v>0</v>
      </c>
      <c r="BE51">
        <f>IF('2015'!U:U,"AAAAAHvovzg=",0)</f>
        <v>0</v>
      </c>
      <c r="BF51">
        <f>IF('2015'!V:V,"AAAAAHvovzk=",0)</f>
        <v>0</v>
      </c>
      <c r="BG51">
        <f>IF('2015'!W:W,"AAAAAHvovzo=",0)</f>
        <v>0</v>
      </c>
      <c r="BH51">
        <f>IF('2015'!X:X,"AAAAAHvovzs=",0)</f>
        <v>0</v>
      </c>
      <c r="BI51">
        <f>IF('2015'!Y:Y,"AAAAAHvovzw=",0)</f>
        <v>0</v>
      </c>
      <c r="BJ51">
        <f>IF('2015'!Z:Z,"AAAAAHvovz0=",0)</f>
        <v>0</v>
      </c>
      <c r="BK51">
        <f>IF('2015'!AA:AA,"AAAAAHvovz4=",0)</f>
        <v>0</v>
      </c>
      <c r="BL51">
        <f>IF('2015'!AB:AB,"AAAAAHvovz8=",0)</f>
        <v>0</v>
      </c>
      <c r="BM51">
        <f>IF('2015'!AC:AC,"AAAAAHvov0A=",0)</f>
        <v>0</v>
      </c>
      <c r="BN51">
        <f>IF('2015'!AD:AD,"AAAAAHvov0E=",0)</f>
        <v>0</v>
      </c>
      <c r="BO51">
        <f>IF('2015'!AE:AE,"AAAAAHvov0I=",0)</f>
        <v>0</v>
      </c>
      <c r="BP51">
        <f>IF('2015'!AF:AF,"AAAAAHvov0M=",0)</f>
        <v>0</v>
      </c>
      <c r="BQ51">
        <f>IF('2015'!AG:AG,"AAAAAHvov0Q=",0)</f>
        <v>0</v>
      </c>
      <c r="BR51">
        <f>IF('2015'!AH:AH,"AAAAAHvov0U=",0)</f>
        <v>0</v>
      </c>
      <c r="BS51">
        <f>IF('2015'!AI:AI,"AAAAAHvov0Y=",0)</f>
        <v>0</v>
      </c>
      <c r="BT51">
        <f>IF('2015'!AJ:AJ,"AAAAAHvov0c=",0)</f>
        <v>0</v>
      </c>
      <c r="BU51">
        <f>IF('2015'!AK:AK,"AAAAAHvov0g=",0)</f>
        <v>0</v>
      </c>
      <c r="BV51">
        <f>IF('2015'!AL:AL,"AAAAAHvov0k=",0)</f>
        <v>0</v>
      </c>
      <c r="BW51">
        <f>IF('2015'!AM:AM,"AAAAAHvov0o=",0)</f>
        <v>0</v>
      </c>
      <c r="BX51" t="str">
        <f>IF('2015'!AN:AN,"AAAAAHvov0s=",0)</f>
        <v>AAAAAHvov0s=</v>
      </c>
      <c r="BY51">
        <f>IF('2015'!AO:AO,"AAAAAHvov0w=",0)</f>
        <v>0</v>
      </c>
      <c r="BZ51" t="str">
        <f>IF('2015'!AP:AP,"AAAAAHvov00=",0)</f>
        <v>AAAAAHvov00=</v>
      </c>
      <c r="CA51">
        <f>IF('2015'!AQ:AQ,"AAAAAHvov04=",0)</f>
        <v>0</v>
      </c>
      <c r="CB51">
        <f>IF('2015'!AR:AR,"AAAAAHvov08=",0)</f>
        <v>0</v>
      </c>
      <c r="CC51" t="str">
        <f>IF('2015'!AS:AS,"AAAAAHvov1A=",0)</f>
        <v>AAAAAHvov1A=</v>
      </c>
      <c r="CD51">
        <f>IF('2015'!AT:AT,"AAAAAHvov1E=",0)</f>
        <v>0</v>
      </c>
      <c r="CE51" t="e">
        <f>IF('2015'!#REF!,"AAAAAHvov1I=",0)</f>
        <v>#REF!</v>
      </c>
      <c r="CF51">
        <f>IF('2015'!AU:AU,"AAAAAHvov1M=",0)</f>
        <v>0</v>
      </c>
      <c r="CG51">
        <f>IF('2015'!AV:AV,"AAAAAHvov1Q=",0)</f>
        <v>0</v>
      </c>
      <c r="CH51">
        <f>IF('2015'!AW:AW,"AAAAAHvov1U=",0)</f>
        <v>0</v>
      </c>
      <c r="CI51" t="str">
        <f>IF('2015'!AX:AX,"AAAAAHvov1Y=",0)</f>
        <v>AAAAAHvov1Y=</v>
      </c>
      <c r="CJ51">
        <f>IF('2015'!AY:AY,"AAAAAHvov1c=",0)</f>
        <v>0</v>
      </c>
      <c r="CK51" t="str">
        <f>IF('2015'!AZ:AZ,"AAAAAHvov1g=",0)</f>
        <v>AAAAAHvov1g=</v>
      </c>
      <c r="CL51">
        <f>IF('2015'!BA:BA,"AAAAAHvov1k=",0)</f>
        <v>0</v>
      </c>
      <c r="CM51">
        <f>IF('2015'!BB:BB,"AAAAAHvov1o=",0)</f>
        <v>0</v>
      </c>
      <c r="CN51">
        <f>IF('2015'!BC:BC,"AAAAAHvov1s=",0)</f>
        <v>0</v>
      </c>
      <c r="CO51" t="str">
        <f>IF('2015'!BD:BD,"AAAAAHvov1w=",0)</f>
        <v>AAAAAHvov1w=</v>
      </c>
      <c r="CP51">
        <f>IF('2015'!BE:BE,"AAAAAHvov10=",0)</f>
        <v>0</v>
      </c>
      <c r="CQ51">
        <f>IF('2015'!BF:BF,"AAAAAHvov14=",0)</f>
        <v>0</v>
      </c>
      <c r="CR51">
        <f>IF('2015'!BG:BG,"AAAAAHvov18=",0)</f>
        <v>0</v>
      </c>
      <c r="CS51">
        <f>IF('2015'!BH:BH,"AAAAAHvov2A=",0)</f>
        <v>0</v>
      </c>
      <c r="CT51">
        <f>IF('2015'!BI:BI,"AAAAAHvov2E=",0)</f>
        <v>0</v>
      </c>
      <c r="CU51" t="e">
        <f>IF('2015'!#REF!,"AAAAAHvov2I=",0)</f>
        <v>#REF!</v>
      </c>
      <c r="CV51">
        <f>IF('2015'!BJ:BJ,"AAAAAHvov2M=",0)</f>
        <v>0</v>
      </c>
      <c r="CW51">
        <f>IF('2015'!BK:BK,"AAAAAHvov2Q=",0)</f>
        <v>0</v>
      </c>
      <c r="CX51">
        <f>IF('2015'!BL:BL,"AAAAAHvov2U=",0)</f>
        <v>0</v>
      </c>
      <c r="CY51">
        <f>IF('2015'!BM:BM,"AAAAAHvov2Y=",0)</f>
        <v>0</v>
      </c>
      <c r="CZ51">
        <f>IF('2015'!BY:BY,"AAAAAHvov2c=",0)</f>
        <v>0</v>
      </c>
      <c r="DA51" t="e">
        <f>IF(#REF!,"AAAAAHvov2g=",0)</f>
        <v>#REF!</v>
      </c>
      <c r="DB51" t="e">
        <f>AND(#REF!,"AAAAAHvov2k=")</f>
        <v>#REF!</v>
      </c>
      <c r="DC51" t="e">
        <f>AND(#REF!,"AAAAAHvov2o=")</f>
        <v>#REF!</v>
      </c>
      <c r="DD51" t="e">
        <f>AND(#REF!,"AAAAAHvov2s=")</f>
        <v>#REF!</v>
      </c>
      <c r="DE51" t="e">
        <f>AND(#REF!,"AAAAAHvov2w=")</f>
        <v>#REF!</v>
      </c>
      <c r="DF51" t="e">
        <f>AND(#REF!,"AAAAAHvov20=")</f>
        <v>#REF!</v>
      </c>
      <c r="DG51" t="e">
        <f>AND(#REF!,"AAAAAHvov24=")</f>
        <v>#REF!</v>
      </c>
      <c r="DH51" t="e">
        <f>AND(#REF!,"AAAAAHvov28=")</f>
        <v>#REF!</v>
      </c>
      <c r="DI51" t="e">
        <f>AND(#REF!,"AAAAAHvov3A=")</f>
        <v>#REF!</v>
      </c>
      <c r="DJ51" t="e">
        <f>AND(#REF!,"AAAAAHvov3E=")</f>
        <v>#REF!</v>
      </c>
      <c r="DK51" t="e">
        <f>AND(#REF!,"AAAAAHvov3I=")</f>
        <v>#REF!</v>
      </c>
      <c r="DL51" t="e">
        <f>AND(#REF!,"AAAAAHvov3M=")</f>
        <v>#REF!</v>
      </c>
      <c r="DM51" t="e">
        <f>AND(#REF!,"AAAAAHvov3Q=")</f>
        <v>#REF!</v>
      </c>
      <c r="DN51" t="e">
        <f>AND(#REF!,"AAAAAHvov3U=")</f>
        <v>#REF!</v>
      </c>
      <c r="DO51" t="e">
        <f>AND(#REF!,"AAAAAHvov3Y=")</f>
        <v>#REF!</v>
      </c>
      <c r="DP51" t="e">
        <f>AND(#REF!,"AAAAAHvov3c=")</f>
        <v>#REF!</v>
      </c>
      <c r="DQ51" t="e">
        <f>AND(#REF!,"AAAAAHvov3g=")</f>
        <v>#REF!</v>
      </c>
      <c r="DR51" t="e">
        <f>AND(#REF!,"AAAAAHvov3k=")</f>
        <v>#REF!</v>
      </c>
      <c r="DS51" t="e">
        <f>AND(#REF!,"AAAAAHvov3o=")</f>
        <v>#REF!</v>
      </c>
      <c r="DT51" t="e">
        <f>AND(#REF!,"AAAAAHvov3s=")</f>
        <v>#REF!</v>
      </c>
      <c r="DU51" t="e">
        <f>AND(#REF!,"AAAAAHvov3w=")</f>
        <v>#REF!</v>
      </c>
      <c r="DV51" t="e">
        <f>AND(#REF!,"AAAAAHvov30=")</f>
        <v>#REF!</v>
      </c>
      <c r="DW51" t="e">
        <f>AND(#REF!,"AAAAAHvov34=")</f>
        <v>#REF!</v>
      </c>
      <c r="DX51" t="e">
        <f>AND(#REF!,"AAAAAHvov38=")</f>
        <v>#REF!</v>
      </c>
      <c r="DY51" t="e">
        <f>AND(#REF!,"AAAAAHvov4A=")</f>
        <v>#REF!</v>
      </c>
      <c r="DZ51" t="e">
        <f>AND(#REF!,"AAAAAHvov4E=")</f>
        <v>#REF!</v>
      </c>
      <c r="EA51" t="e">
        <f>AND(#REF!,"AAAAAHvov4I=")</f>
        <v>#REF!</v>
      </c>
      <c r="EB51" t="e">
        <f>AND(#REF!,"AAAAAHvov4M=")</f>
        <v>#REF!</v>
      </c>
      <c r="EC51" t="e">
        <f>AND(#REF!,"AAAAAHvov4Q=")</f>
        <v>#REF!</v>
      </c>
      <c r="ED51" t="e">
        <f>AND(#REF!,"AAAAAHvov4U=")</f>
        <v>#REF!</v>
      </c>
      <c r="EE51" t="e">
        <f>AND(#REF!,"AAAAAHvov4Y=")</f>
        <v>#REF!</v>
      </c>
      <c r="EF51" t="e">
        <f>AND(#REF!,"AAAAAHvov4c=")</f>
        <v>#REF!</v>
      </c>
      <c r="EG51" t="e">
        <f>AND(#REF!,"AAAAAHvov4g=")</f>
        <v>#REF!</v>
      </c>
      <c r="EH51" t="e">
        <f>AND(#REF!,"AAAAAHvov4k=")</f>
        <v>#REF!</v>
      </c>
      <c r="EI51" t="e">
        <f>AND(#REF!,"AAAAAHvov4o=")</f>
        <v>#REF!</v>
      </c>
      <c r="EJ51" t="e">
        <f>AND(#REF!,"AAAAAHvov4s=")</f>
        <v>#REF!</v>
      </c>
      <c r="EK51" t="e">
        <f>AND(#REF!,"AAAAAHvov4w=")</f>
        <v>#REF!</v>
      </c>
      <c r="EL51" t="e">
        <f>AND(#REF!,"AAAAAHvov40=")</f>
        <v>#REF!</v>
      </c>
      <c r="EM51" t="e">
        <f>AND(#REF!,"AAAAAHvov44=")</f>
        <v>#REF!</v>
      </c>
      <c r="EN51" t="e">
        <f>AND(#REF!,"AAAAAHvov48=")</f>
        <v>#REF!</v>
      </c>
      <c r="EO51" t="e">
        <f>AND(#REF!,"AAAAAHvov5A=")</f>
        <v>#REF!</v>
      </c>
      <c r="EP51" t="e">
        <f>AND(#REF!,"AAAAAHvov5E=")</f>
        <v>#REF!</v>
      </c>
      <c r="EQ51" t="e">
        <f>AND(#REF!,"AAAAAHvov5I=")</f>
        <v>#REF!</v>
      </c>
      <c r="ER51" t="e">
        <f>AND(#REF!,"AAAAAHvov5M=")</f>
        <v>#REF!</v>
      </c>
      <c r="ES51" t="e">
        <f>AND(#REF!,"AAAAAHvov5Q=")</f>
        <v>#REF!</v>
      </c>
      <c r="ET51" t="e">
        <f>AND(#REF!,"AAAAAHvov5U=")</f>
        <v>#REF!</v>
      </c>
      <c r="EU51" t="e">
        <f>AND(#REF!,"AAAAAHvov5Y=")</f>
        <v>#REF!</v>
      </c>
      <c r="EV51" t="e">
        <f>AND(#REF!,"AAAAAHvov5c=")</f>
        <v>#REF!</v>
      </c>
      <c r="EW51" t="e">
        <f>AND(#REF!,"AAAAAHvov5g=")</f>
        <v>#REF!</v>
      </c>
      <c r="EX51" t="e">
        <f>AND(#REF!,"AAAAAHvov5k=")</f>
        <v>#REF!</v>
      </c>
      <c r="EY51" t="e">
        <f>AND(#REF!,"AAAAAHvov5o=")</f>
        <v>#REF!</v>
      </c>
      <c r="EZ51" t="e">
        <f>AND(#REF!,"AAAAAHvov5s=")</f>
        <v>#REF!</v>
      </c>
      <c r="FA51" t="e">
        <f>AND(#REF!,"AAAAAHvov5w=")</f>
        <v>#REF!</v>
      </c>
      <c r="FB51" t="e">
        <f>AND(#REF!,"AAAAAHvov50=")</f>
        <v>#REF!</v>
      </c>
      <c r="FC51" t="e">
        <f>AND(#REF!,"AAAAAHvov54=")</f>
        <v>#REF!</v>
      </c>
      <c r="FD51" t="e">
        <f>IF(#REF!,"AAAAAHvov58=",0)</f>
        <v>#REF!</v>
      </c>
      <c r="FE51" t="e">
        <f>AND(#REF!,"AAAAAHvov6A=")</f>
        <v>#REF!</v>
      </c>
      <c r="FF51" t="e">
        <f>AND(#REF!,"AAAAAHvov6E=")</f>
        <v>#REF!</v>
      </c>
      <c r="FG51" t="e">
        <f>AND(#REF!,"AAAAAHvov6I=")</f>
        <v>#REF!</v>
      </c>
      <c r="FH51" t="e">
        <f>AND(#REF!,"AAAAAHvov6M=")</f>
        <v>#REF!</v>
      </c>
      <c r="FI51" t="e">
        <f>AND(#REF!,"AAAAAHvov6Q=")</f>
        <v>#REF!</v>
      </c>
      <c r="FJ51" t="e">
        <f>AND(#REF!,"AAAAAHvov6U=")</f>
        <v>#REF!</v>
      </c>
      <c r="FK51" t="e">
        <f>AND(#REF!,"AAAAAHvov6Y=")</f>
        <v>#REF!</v>
      </c>
      <c r="FL51" t="e">
        <f>AND(#REF!,"AAAAAHvov6c=")</f>
        <v>#REF!</v>
      </c>
      <c r="FM51" t="e">
        <f>AND(#REF!,"AAAAAHvov6g=")</f>
        <v>#REF!</v>
      </c>
      <c r="FN51" t="e">
        <f>AND(#REF!,"AAAAAHvov6k=")</f>
        <v>#REF!</v>
      </c>
      <c r="FO51" t="e">
        <f>AND(#REF!,"AAAAAHvov6o=")</f>
        <v>#REF!</v>
      </c>
      <c r="FP51" t="e">
        <f>AND(#REF!,"AAAAAHvov6s=")</f>
        <v>#REF!</v>
      </c>
      <c r="FQ51" t="e">
        <f>AND(#REF!,"AAAAAHvov6w=")</f>
        <v>#REF!</v>
      </c>
      <c r="FR51" t="e">
        <f>AND(#REF!,"AAAAAHvov60=")</f>
        <v>#REF!</v>
      </c>
      <c r="FS51" t="e">
        <f>AND(#REF!,"AAAAAHvov64=")</f>
        <v>#REF!</v>
      </c>
      <c r="FT51" t="e">
        <f>AND(#REF!,"AAAAAHvov68=")</f>
        <v>#REF!</v>
      </c>
      <c r="FU51" t="e">
        <f>AND(#REF!,"AAAAAHvov7A=")</f>
        <v>#REF!</v>
      </c>
      <c r="FV51" t="e">
        <f>AND(#REF!,"AAAAAHvov7E=")</f>
        <v>#REF!</v>
      </c>
      <c r="FW51" t="e">
        <f>AND(#REF!,"AAAAAHvov7I=")</f>
        <v>#REF!</v>
      </c>
      <c r="FX51" t="e">
        <f>AND(#REF!,"AAAAAHvov7M=")</f>
        <v>#REF!</v>
      </c>
      <c r="FY51" t="e">
        <f>AND(#REF!,"AAAAAHvov7Q=")</f>
        <v>#REF!</v>
      </c>
      <c r="FZ51" t="e">
        <f>AND(#REF!,"AAAAAHvov7U=")</f>
        <v>#REF!</v>
      </c>
      <c r="GA51" t="e">
        <f>AND(#REF!,"AAAAAHvov7Y=")</f>
        <v>#REF!</v>
      </c>
      <c r="GB51" t="e">
        <f>AND(#REF!,"AAAAAHvov7c=")</f>
        <v>#REF!</v>
      </c>
      <c r="GC51" t="e">
        <f>AND(#REF!,"AAAAAHvov7g=")</f>
        <v>#REF!</v>
      </c>
      <c r="GD51" t="e">
        <f>AND(#REF!,"AAAAAHvov7k=")</f>
        <v>#REF!</v>
      </c>
      <c r="GE51" t="e">
        <f>AND(#REF!,"AAAAAHvov7o=")</f>
        <v>#REF!</v>
      </c>
      <c r="GF51" t="e">
        <f>AND(#REF!,"AAAAAHvov7s=")</f>
        <v>#REF!</v>
      </c>
      <c r="GG51" t="e">
        <f>AND(#REF!,"AAAAAHvov7w=")</f>
        <v>#REF!</v>
      </c>
      <c r="GH51" t="e">
        <f>AND(#REF!,"AAAAAHvov70=")</f>
        <v>#REF!</v>
      </c>
      <c r="GI51" t="e">
        <f>AND(#REF!,"AAAAAHvov74=")</f>
        <v>#REF!</v>
      </c>
      <c r="GJ51" t="e">
        <f>AND(#REF!,"AAAAAHvov78=")</f>
        <v>#REF!</v>
      </c>
      <c r="GK51" t="e">
        <f>AND(#REF!,"AAAAAHvov8A=")</f>
        <v>#REF!</v>
      </c>
      <c r="GL51" t="e">
        <f>AND(#REF!,"AAAAAHvov8E=")</f>
        <v>#REF!</v>
      </c>
      <c r="GM51" t="e">
        <f>AND(#REF!,"AAAAAHvov8I=")</f>
        <v>#REF!</v>
      </c>
      <c r="GN51" t="e">
        <f>AND(#REF!,"AAAAAHvov8M=")</f>
        <v>#REF!</v>
      </c>
      <c r="GO51" t="e">
        <f>AND(#REF!,"AAAAAHvov8Q=")</f>
        <v>#REF!</v>
      </c>
      <c r="GP51" t="e">
        <f>AND(#REF!,"AAAAAHvov8U=")</f>
        <v>#REF!</v>
      </c>
      <c r="GQ51" t="e">
        <f>AND(#REF!,"AAAAAHvov8Y=")</f>
        <v>#REF!</v>
      </c>
      <c r="GR51" t="e">
        <f>AND(#REF!,"AAAAAHvov8c=")</f>
        <v>#REF!</v>
      </c>
      <c r="GS51" t="e">
        <f>AND(#REF!,"AAAAAHvov8g=")</f>
        <v>#REF!</v>
      </c>
      <c r="GT51" t="e">
        <f>AND(#REF!,"AAAAAHvov8k=")</f>
        <v>#REF!</v>
      </c>
      <c r="GU51" t="e">
        <f>AND(#REF!,"AAAAAHvov8o=")</f>
        <v>#REF!</v>
      </c>
      <c r="GV51" t="e">
        <f>AND(#REF!,"AAAAAHvov8s=")</f>
        <v>#REF!</v>
      </c>
      <c r="GW51" t="e">
        <f>AND(#REF!,"AAAAAHvov8w=")</f>
        <v>#REF!</v>
      </c>
      <c r="GX51" t="e">
        <f>AND(#REF!,"AAAAAHvov80=")</f>
        <v>#REF!</v>
      </c>
      <c r="GY51" t="e">
        <f>AND(#REF!,"AAAAAHvov84=")</f>
        <v>#REF!</v>
      </c>
      <c r="GZ51" t="e">
        <f>AND(#REF!,"AAAAAHvov88=")</f>
        <v>#REF!</v>
      </c>
      <c r="HA51" t="e">
        <f>AND(#REF!,"AAAAAHvov9A=")</f>
        <v>#REF!</v>
      </c>
      <c r="HB51" t="e">
        <f>AND(#REF!,"AAAAAHvov9E=")</f>
        <v>#REF!</v>
      </c>
      <c r="HC51" t="e">
        <f>AND(#REF!,"AAAAAHvov9I=")</f>
        <v>#REF!</v>
      </c>
      <c r="HD51" t="e">
        <f>AND(#REF!,"AAAAAHvov9M=")</f>
        <v>#REF!</v>
      </c>
      <c r="HE51" t="e">
        <f>AND(#REF!,"AAAAAHvov9Q=")</f>
        <v>#REF!</v>
      </c>
      <c r="HF51" t="e">
        <f>AND(#REF!,"AAAAAHvov9U=")</f>
        <v>#REF!</v>
      </c>
      <c r="HG51" t="e">
        <f>IF(#REF!,"AAAAAHvov9Y=",0)</f>
        <v>#REF!</v>
      </c>
      <c r="HH51" t="e">
        <f>AND(#REF!,"AAAAAHvov9c=")</f>
        <v>#REF!</v>
      </c>
      <c r="HI51" t="e">
        <f>AND(#REF!,"AAAAAHvov9g=")</f>
        <v>#REF!</v>
      </c>
      <c r="HJ51" t="e">
        <f>AND(#REF!,"AAAAAHvov9k=")</f>
        <v>#REF!</v>
      </c>
      <c r="HK51" t="e">
        <f>AND(#REF!,"AAAAAHvov9o=")</f>
        <v>#REF!</v>
      </c>
      <c r="HL51" t="e">
        <f>AND(#REF!,"AAAAAHvov9s=")</f>
        <v>#REF!</v>
      </c>
      <c r="HM51" t="e">
        <f>AND(#REF!,"AAAAAHvov9w=")</f>
        <v>#REF!</v>
      </c>
      <c r="HN51" t="e">
        <f>AND(#REF!,"AAAAAHvov90=")</f>
        <v>#REF!</v>
      </c>
      <c r="HO51" t="e">
        <f>AND(#REF!,"AAAAAHvov94=")</f>
        <v>#REF!</v>
      </c>
      <c r="HP51" t="e">
        <f>AND(#REF!,"AAAAAHvov98=")</f>
        <v>#REF!</v>
      </c>
      <c r="HQ51" t="e">
        <f>AND(#REF!,"AAAAAHvov+A=")</f>
        <v>#REF!</v>
      </c>
      <c r="HR51" t="e">
        <f>AND(#REF!,"AAAAAHvov+E=")</f>
        <v>#REF!</v>
      </c>
      <c r="HS51" t="e">
        <f>AND(#REF!,"AAAAAHvov+I=")</f>
        <v>#REF!</v>
      </c>
      <c r="HT51" t="e">
        <f>AND(#REF!,"AAAAAHvov+M=")</f>
        <v>#REF!</v>
      </c>
      <c r="HU51" t="e">
        <f>AND(#REF!,"AAAAAHvov+Q=")</f>
        <v>#REF!</v>
      </c>
      <c r="HV51" t="e">
        <f>AND(#REF!,"AAAAAHvov+U=")</f>
        <v>#REF!</v>
      </c>
      <c r="HW51" t="e">
        <f>AND(#REF!,"AAAAAHvov+Y=")</f>
        <v>#REF!</v>
      </c>
      <c r="HX51" t="e">
        <f>AND(#REF!,"AAAAAHvov+c=")</f>
        <v>#REF!</v>
      </c>
      <c r="HY51" t="e">
        <f>AND(#REF!,"AAAAAHvov+g=")</f>
        <v>#REF!</v>
      </c>
      <c r="HZ51" t="e">
        <f>AND(#REF!,"AAAAAHvov+k=")</f>
        <v>#REF!</v>
      </c>
      <c r="IA51" t="e">
        <f>AND(#REF!,"AAAAAHvov+o=")</f>
        <v>#REF!</v>
      </c>
      <c r="IB51" t="e">
        <f>AND(#REF!,"AAAAAHvov+s=")</f>
        <v>#REF!</v>
      </c>
      <c r="IC51" t="e">
        <f>AND(#REF!,"AAAAAHvov+w=")</f>
        <v>#REF!</v>
      </c>
      <c r="ID51" t="e">
        <f>AND(#REF!,"AAAAAHvov+0=")</f>
        <v>#REF!</v>
      </c>
      <c r="IE51" t="e">
        <f>AND(#REF!,"AAAAAHvov+4=")</f>
        <v>#REF!</v>
      </c>
      <c r="IF51" t="e">
        <f>AND(#REF!,"AAAAAHvov+8=")</f>
        <v>#REF!</v>
      </c>
      <c r="IG51" t="e">
        <f>AND(#REF!,"AAAAAHvov/A=")</f>
        <v>#REF!</v>
      </c>
      <c r="IH51" t="e">
        <f>AND(#REF!,"AAAAAHvov/E=")</f>
        <v>#REF!</v>
      </c>
      <c r="II51" t="e">
        <f>AND(#REF!,"AAAAAHvov/I=")</f>
        <v>#REF!</v>
      </c>
      <c r="IJ51" t="e">
        <f>AND(#REF!,"AAAAAHvov/M=")</f>
        <v>#REF!</v>
      </c>
      <c r="IK51" t="e">
        <f>AND(#REF!,"AAAAAHvov/Q=")</f>
        <v>#REF!</v>
      </c>
      <c r="IL51" t="e">
        <f>AND(#REF!,"AAAAAHvov/U=")</f>
        <v>#REF!</v>
      </c>
      <c r="IM51" t="e">
        <f>AND(#REF!,"AAAAAHvov/Y=")</f>
        <v>#REF!</v>
      </c>
      <c r="IN51" t="e">
        <f>AND(#REF!,"AAAAAHvov/c=")</f>
        <v>#REF!</v>
      </c>
      <c r="IO51" t="e">
        <f>AND(#REF!,"AAAAAHvov/g=")</f>
        <v>#REF!</v>
      </c>
      <c r="IP51" t="e">
        <f>AND(#REF!,"AAAAAHvov/k=")</f>
        <v>#REF!</v>
      </c>
      <c r="IQ51" t="e">
        <f>AND(#REF!,"AAAAAHvov/o=")</f>
        <v>#REF!</v>
      </c>
      <c r="IR51" t="e">
        <f>AND(#REF!,"AAAAAHvov/s=")</f>
        <v>#REF!</v>
      </c>
      <c r="IS51" t="e">
        <f>AND(#REF!,"AAAAAHvov/w=")</f>
        <v>#REF!</v>
      </c>
      <c r="IT51" t="e">
        <f>AND(#REF!,"AAAAAHvov/0=")</f>
        <v>#REF!</v>
      </c>
      <c r="IU51" t="e">
        <f>AND(#REF!,"AAAAAHvov/4=")</f>
        <v>#REF!</v>
      </c>
      <c r="IV51" t="e">
        <f>AND(#REF!,"AAAAAHvov/8=")</f>
        <v>#REF!</v>
      </c>
    </row>
    <row r="52" spans="1:256" x14ac:dyDescent="0.25">
      <c r="A52" t="e">
        <f>AND(#REF!,"AAAAAGfq1wA=")</f>
        <v>#REF!</v>
      </c>
      <c r="B52" t="e">
        <f>AND(#REF!,"AAAAAGfq1wE=")</f>
        <v>#REF!</v>
      </c>
      <c r="C52" t="e">
        <f>AND(#REF!,"AAAAAGfq1wI=")</f>
        <v>#REF!</v>
      </c>
      <c r="D52" t="e">
        <f>AND(#REF!,"AAAAAGfq1wM=")</f>
        <v>#REF!</v>
      </c>
      <c r="E52" t="e">
        <f>AND(#REF!,"AAAAAGfq1wQ=")</f>
        <v>#REF!</v>
      </c>
      <c r="F52" t="e">
        <f>AND(#REF!,"AAAAAGfq1wU=")</f>
        <v>#REF!</v>
      </c>
      <c r="G52" t="e">
        <f>AND(#REF!,"AAAAAGfq1wY=")</f>
        <v>#REF!</v>
      </c>
      <c r="H52" t="e">
        <f>AND(#REF!,"AAAAAGfq1wc=")</f>
        <v>#REF!</v>
      </c>
      <c r="I52" t="e">
        <f>AND(#REF!,"AAAAAGfq1wg=")</f>
        <v>#REF!</v>
      </c>
      <c r="J52" t="e">
        <f>AND(#REF!,"AAAAAGfq1wk=")</f>
        <v>#REF!</v>
      </c>
      <c r="K52" t="e">
        <f>AND(#REF!,"AAAAAGfq1wo=")</f>
        <v>#REF!</v>
      </c>
      <c r="L52" t="e">
        <f>AND(#REF!,"AAAAAGfq1ws=")</f>
        <v>#REF!</v>
      </c>
      <c r="M52" t="e">
        <f>AND(#REF!,"AAAAAGfq1ww=")</f>
        <v>#REF!</v>
      </c>
      <c r="N52" t="e">
        <f>IF(#REF!,"AAAAAGfq1w0=",0)</f>
        <v>#REF!</v>
      </c>
      <c r="O52" t="e">
        <f>AND(#REF!,"AAAAAGfq1w4=")</f>
        <v>#REF!</v>
      </c>
      <c r="P52" t="e">
        <f>AND(#REF!,"AAAAAGfq1w8=")</f>
        <v>#REF!</v>
      </c>
      <c r="Q52" t="e">
        <f>AND(#REF!,"AAAAAGfq1xA=")</f>
        <v>#REF!</v>
      </c>
      <c r="R52" t="e">
        <f>AND(#REF!,"AAAAAGfq1xE=")</f>
        <v>#REF!</v>
      </c>
      <c r="S52" t="e">
        <f>AND(#REF!,"AAAAAGfq1xI=")</f>
        <v>#REF!</v>
      </c>
      <c r="T52" t="e">
        <f>AND(#REF!,"AAAAAGfq1xM=")</f>
        <v>#REF!</v>
      </c>
      <c r="U52" t="e">
        <f>AND(#REF!,"AAAAAGfq1xQ=")</f>
        <v>#REF!</v>
      </c>
      <c r="V52" t="e">
        <f>AND(#REF!,"AAAAAGfq1xU=")</f>
        <v>#REF!</v>
      </c>
      <c r="W52" t="e">
        <f>AND(#REF!,"AAAAAGfq1xY=")</f>
        <v>#REF!</v>
      </c>
      <c r="X52" t="e">
        <f>AND(#REF!,"AAAAAGfq1xc=")</f>
        <v>#REF!</v>
      </c>
      <c r="Y52" t="e">
        <f>AND(#REF!,"AAAAAGfq1xg=")</f>
        <v>#REF!</v>
      </c>
      <c r="Z52" t="e">
        <f>AND(#REF!,"AAAAAGfq1xk=")</f>
        <v>#REF!</v>
      </c>
      <c r="AA52" t="e">
        <f>AND(#REF!,"AAAAAGfq1xo=")</f>
        <v>#REF!</v>
      </c>
      <c r="AB52" t="e">
        <f>AND(#REF!,"AAAAAGfq1xs=")</f>
        <v>#REF!</v>
      </c>
      <c r="AC52" t="e">
        <f>AND(#REF!,"AAAAAGfq1xw=")</f>
        <v>#REF!</v>
      </c>
      <c r="AD52" t="e">
        <f>AND(#REF!,"AAAAAGfq1x0=")</f>
        <v>#REF!</v>
      </c>
      <c r="AE52" t="e">
        <f>AND(#REF!,"AAAAAGfq1x4=")</f>
        <v>#REF!</v>
      </c>
      <c r="AF52" t="e">
        <f>AND(#REF!,"AAAAAGfq1x8=")</f>
        <v>#REF!</v>
      </c>
      <c r="AG52" t="e">
        <f>AND(#REF!,"AAAAAGfq1yA=")</f>
        <v>#REF!</v>
      </c>
      <c r="AH52" t="e">
        <f>AND(#REF!,"AAAAAGfq1yE=")</f>
        <v>#REF!</v>
      </c>
      <c r="AI52" t="e">
        <f>AND(#REF!,"AAAAAGfq1yI=")</f>
        <v>#REF!</v>
      </c>
      <c r="AJ52" t="e">
        <f>AND(#REF!,"AAAAAGfq1yM=")</f>
        <v>#REF!</v>
      </c>
      <c r="AK52" t="e">
        <f>AND(#REF!,"AAAAAGfq1yQ=")</f>
        <v>#REF!</v>
      </c>
      <c r="AL52" t="e">
        <f>AND(#REF!,"AAAAAGfq1yU=")</f>
        <v>#REF!</v>
      </c>
      <c r="AM52" t="e">
        <f>AND(#REF!,"AAAAAGfq1yY=")</f>
        <v>#REF!</v>
      </c>
      <c r="AN52" t="e">
        <f>AND(#REF!,"AAAAAGfq1yc=")</f>
        <v>#REF!</v>
      </c>
      <c r="AO52" t="e">
        <f>AND(#REF!,"AAAAAGfq1yg=")</f>
        <v>#REF!</v>
      </c>
      <c r="AP52" t="e">
        <f>AND(#REF!,"AAAAAGfq1yk=")</f>
        <v>#REF!</v>
      </c>
      <c r="AQ52" t="e">
        <f>AND(#REF!,"AAAAAGfq1yo=")</f>
        <v>#REF!</v>
      </c>
      <c r="AR52" t="e">
        <f>AND(#REF!,"AAAAAGfq1ys=")</f>
        <v>#REF!</v>
      </c>
      <c r="AS52" t="e">
        <f>AND(#REF!,"AAAAAGfq1yw=")</f>
        <v>#REF!</v>
      </c>
      <c r="AT52" t="e">
        <f>AND(#REF!,"AAAAAGfq1y0=")</f>
        <v>#REF!</v>
      </c>
      <c r="AU52" t="e">
        <f>AND(#REF!,"AAAAAGfq1y4=")</f>
        <v>#REF!</v>
      </c>
      <c r="AV52" t="e">
        <f>AND(#REF!,"AAAAAGfq1y8=")</f>
        <v>#REF!</v>
      </c>
      <c r="AW52" t="e">
        <f>AND(#REF!,"AAAAAGfq1zA=")</f>
        <v>#REF!</v>
      </c>
      <c r="AX52" t="e">
        <f>AND(#REF!,"AAAAAGfq1zE=")</f>
        <v>#REF!</v>
      </c>
      <c r="AY52" t="e">
        <f>AND(#REF!,"AAAAAGfq1zI=")</f>
        <v>#REF!</v>
      </c>
      <c r="AZ52" t="e">
        <f>AND(#REF!,"AAAAAGfq1zM=")</f>
        <v>#REF!</v>
      </c>
      <c r="BA52" t="e">
        <f>AND(#REF!,"AAAAAGfq1zQ=")</f>
        <v>#REF!</v>
      </c>
      <c r="BB52" t="e">
        <f>AND(#REF!,"AAAAAGfq1zU=")</f>
        <v>#REF!</v>
      </c>
      <c r="BC52" t="e">
        <f>AND(#REF!,"AAAAAGfq1zY=")</f>
        <v>#REF!</v>
      </c>
      <c r="BD52" t="e">
        <f>AND(#REF!,"AAAAAGfq1zc=")</f>
        <v>#REF!</v>
      </c>
      <c r="BE52" t="e">
        <f>AND(#REF!,"AAAAAGfq1zg=")</f>
        <v>#REF!</v>
      </c>
      <c r="BF52" t="e">
        <f>AND(#REF!,"AAAAAGfq1zk=")</f>
        <v>#REF!</v>
      </c>
      <c r="BG52" t="e">
        <f>AND(#REF!,"AAAAAGfq1zo=")</f>
        <v>#REF!</v>
      </c>
      <c r="BH52" t="e">
        <f>AND(#REF!,"AAAAAGfq1zs=")</f>
        <v>#REF!</v>
      </c>
      <c r="BI52" t="e">
        <f>AND(#REF!,"AAAAAGfq1zw=")</f>
        <v>#REF!</v>
      </c>
      <c r="BJ52" t="e">
        <f>AND(#REF!,"AAAAAGfq1z0=")</f>
        <v>#REF!</v>
      </c>
      <c r="BK52" t="e">
        <f>AND(#REF!,"AAAAAGfq1z4=")</f>
        <v>#REF!</v>
      </c>
      <c r="BL52" t="e">
        <f>AND(#REF!,"AAAAAGfq1z8=")</f>
        <v>#REF!</v>
      </c>
      <c r="BM52" t="e">
        <f>AND(#REF!,"AAAAAGfq10A=")</f>
        <v>#REF!</v>
      </c>
      <c r="BN52" t="e">
        <f>AND(#REF!,"AAAAAGfq10E=")</f>
        <v>#REF!</v>
      </c>
      <c r="BO52" t="e">
        <f>AND(#REF!,"AAAAAGfq10I=")</f>
        <v>#REF!</v>
      </c>
      <c r="BP52" t="e">
        <f>AND(#REF!,"AAAAAGfq10M=")</f>
        <v>#REF!</v>
      </c>
      <c r="BQ52" t="e">
        <f>IF(#REF!,"AAAAAGfq10Q=",0)</f>
        <v>#REF!</v>
      </c>
      <c r="BR52" t="e">
        <f>AND(#REF!,"AAAAAGfq10U=")</f>
        <v>#REF!</v>
      </c>
      <c r="BS52" t="e">
        <f>AND(#REF!,"AAAAAGfq10Y=")</f>
        <v>#REF!</v>
      </c>
      <c r="BT52" t="e">
        <f>AND(#REF!,"AAAAAGfq10c=")</f>
        <v>#REF!</v>
      </c>
      <c r="BU52" t="e">
        <f>AND(#REF!,"AAAAAGfq10g=")</f>
        <v>#REF!</v>
      </c>
      <c r="BV52" t="e">
        <f>AND(#REF!,"AAAAAGfq10k=")</f>
        <v>#REF!</v>
      </c>
      <c r="BW52" t="e">
        <f>AND(#REF!,"AAAAAGfq10o=")</f>
        <v>#REF!</v>
      </c>
      <c r="BX52" t="e">
        <f>AND(#REF!,"AAAAAGfq10s=")</f>
        <v>#REF!</v>
      </c>
      <c r="BY52" t="e">
        <f>AND(#REF!,"AAAAAGfq10w=")</f>
        <v>#REF!</v>
      </c>
      <c r="BZ52" t="e">
        <f>AND(#REF!,"AAAAAGfq100=")</f>
        <v>#REF!</v>
      </c>
      <c r="CA52" t="e">
        <f>AND(#REF!,"AAAAAGfq104=")</f>
        <v>#REF!</v>
      </c>
      <c r="CB52" t="e">
        <f>AND(#REF!,"AAAAAGfq108=")</f>
        <v>#REF!</v>
      </c>
      <c r="CC52" t="e">
        <f>AND(#REF!,"AAAAAGfq11A=")</f>
        <v>#REF!</v>
      </c>
      <c r="CD52" t="e">
        <f>AND(#REF!,"AAAAAGfq11E=")</f>
        <v>#REF!</v>
      </c>
      <c r="CE52" t="e">
        <f>AND(#REF!,"AAAAAGfq11I=")</f>
        <v>#REF!</v>
      </c>
      <c r="CF52" t="e">
        <f>AND(#REF!,"AAAAAGfq11M=")</f>
        <v>#REF!</v>
      </c>
      <c r="CG52" t="e">
        <f>AND(#REF!,"AAAAAGfq11Q=")</f>
        <v>#REF!</v>
      </c>
      <c r="CH52" t="e">
        <f>AND(#REF!,"AAAAAGfq11U=")</f>
        <v>#REF!</v>
      </c>
      <c r="CI52" t="e">
        <f>AND(#REF!,"AAAAAGfq11Y=")</f>
        <v>#REF!</v>
      </c>
      <c r="CJ52" t="e">
        <f>AND(#REF!,"AAAAAGfq11c=")</f>
        <v>#REF!</v>
      </c>
      <c r="CK52" t="e">
        <f>AND(#REF!,"AAAAAGfq11g=")</f>
        <v>#REF!</v>
      </c>
      <c r="CL52" t="e">
        <f>AND(#REF!,"AAAAAGfq11k=")</f>
        <v>#REF!</v>
      </c>
      <c r="CM52" t="e">
        <f>AND(#REF!,"AAAAAGfq11o=")</f>
        <v>#REF!</v>
      </c>
      <c r="CN52" t="e">
        <f>AND(#REF!,"AAAAAGfq11s=")</f>
        <v>#REF!</v>
      </c>
      <c r="CO52" t="e">
        <f>AND(#REF!,"AAAAAGfq11w=")</f>
        <v>#REF!</v>
      </c>
      <c r="CP52" t="e">
        <f>AND(#REF!,"AAAAAGfq110=")</f>
        <v>#REF!</v>
      </c>
      <c r="CQ52" t="e">
        <f>AND(#REF!,"AAAAAGfq114=")</f>
        <v>#REF!</v>
      </c>
      <c r="CR52" t="e">
        <f>AND(#REF!,"AAAAAGfq118=")</f>
        <v>#REF!</v>
      </c>
      <c r="CS52" t="e">
        <f>AND(#REF!,"AAAAAGfq12A=")</f>
        <v>#REF!</v>
      </c>
      <c r="CT52" t="e">
        <f>AND(#REF!,"AAAAAGfq12E=")</f>
        <v>#REF!</v>
      </c>
      <c r="CU52" t="e">
        <f>AND(#REF!,"AAAAAGfq12I=")</f>
        <v>#REF!</v>
      </c>
      <c r="CV52" t="e">
        <f>AND(#REF!,"AAAAAGfq12M=")</f>
        <v>#REF!</v>
      </c>
      <c r="CW52" t="e">
        <f>AND(#REF!,"AAAAAGfq12Q=")</f>
        <v>#REF!</v>
      </c>
      <c r="CX52" t="e">
        <f>AND(#REF!,"AAAAAGfq12U=")</f>
        <v>#REF!</v>
      </c>
      <c r="CY52" t="e">
        <f>AND(#REF!,"AAAAAGfq12Y=")</f>
        <v>#REF!</v>
      </c>
      <c r="CZ52" t="e">
        <f>AND(#REF!,"AAAAAGfq12c=")</f>
        <v>#REF!</v>
      </c>
      <c r="DA52" t="e">
        <f>AND(#REF!,"AAAAAGfq12g=")</f>
        <v>#REF!</v>
      </c>
      <c r="DB52" t="e">
        <f>AND(#REF!,"AAAAAGfq12k=")</f>
        <v>#REF!</v>
      </c>
      <c r="DC52" t="e">
        <f>AND(#REF!,"AAAAAGfq12o=")</f>
        <v>#REF!</v>
      </c>
      <c r="DD52" t="e">
        <f>AND(#REF!,"AAAAAGfq12s=")</f>
        <v>#REF!</v>
      </c>
      <c r="DE52" t="e">
        <f>AND(#REF!,"AAAAAGfq12w=")</f>
        <v>#REF!</v>
      </c>
      <c r="DF52" t="e">
        <f>AND(#REF!,"AAAAAGfq120=")</f>
        <v>#REF!</v>
      </c>
      <c r="DG52" t="e">
        <f>AND(#REF!,"AAAAAGfq124=")</f>
        <v>#REF!</v>
      </c>
      <c r="DH52" t="e">
        <f>AND(#REF!,"AAAAAGfq128=")</f>
        <v>#REF!</v>
      </c>
      <c r="DI52" t="e">
        <f>AND(#REF!,"AAAAAGfq13A=")</f>
        <v>#REF!</v>
      </c>
      <c r="DJ52" t="e">
        <f>AND(#REF!,"AAAAAGfq13E=")</f>
        <v>#REF!</v>
      </c>
      <c r="DK52" t="e">
        <f>AND(#REF!,"AAAAAGfq13I=")</f>
        <v>#REF!</v>
      </c>
      <c r="DL52" t="e">
        <f>AND(#REF!,"AAAAAGfq13M=")</f>
        <v>#REF!</v>
      </c>
      <c r="DM52" t="e">
        <f>AND(#REF!,"AAAAAGfq13Q=")</f>
        <v>#REF!</v>
      </c>
      <c r="DN52" t="e">
        <f>AND(#REF!,"AAAAAGfq13U=")</f>
        <v>#REF!</v>
      </c>
      <c r="DO52" t="e">
        <f>AND(#REF!,"AAAAAGfq13Y=")</f>
        <v>#REF!</v>
      </c>
      <c r="DP52" t="e">
        <f>AND(#REF!,"AAAAAGfq13c=")</f>
        <v>#REF!</v>
      </c>
      <c r="DQ52" t="e">
        <f>AND(#REF!,"AAAAAGfq13g=")</f>
        <v>#REF!</v>
      </c>
      <c r="DR52" t="e">
        <f>AND(#REF!,"AAAAAGfq13k=")</f>
        <v>#REF!</v>
      </c>
      <c r="DS52" t="e">
        <f>AND(#REF!,"AAAAAGfq13o=")</f>
        <v>#REF!</v>
      </c>
      <c r="DT52" t="e">
        <f>IF(#REF!,"AAAAAGfq13s=",0)</f>
        <v>#REF!</v>
      </c>
      <c r="DU52" t="e">
        <f>AND(#REF!,"AAAAAGfq13w=")</f>
        <v>#REF!</v>
      </c>
      <c r="DV52" t="e">
        <f>AND(#REF!,"AAAAAGfq130=")</f>
        <v>#REF!</v>
      </c>
      <c r="DW52" t="e">
        <f>AND(#REF!,"AAAAAGfq134=")</f>
        <v>#REF!</v>
      </c>
      <c r="DX52" t="e">
        <f>AND(#REF!,"AAAAAGfq138=")</f>
        <v>#REF!</v>
      </c>
      <c r="DY52" t="e">
        <f>AND(#REF!,"AAAAAGfq14A=")</f>
        <v>#REF!</v>
      </c>
      <c r="DZ52" t="e">
        <f>AND(#REF!,"AAAAAGfq14E=")</f>
        <v>#REF!</v>
      </c>
      <c r="EA52" t="e">
        <f>AND(#REF!,"AAAAAGfq14I=")</f>
        <v>#REF!</v>
      </c>
      <c r="EB52" t="e">
        <f>AND(#REF!,"AAAAAGfq14M=")</f>
        <v>#REF!</v>
      </c>
      <c r="EC52" t="e">
        <f>AND(#REF!,"AAAAAGfq14Q=")</f>
        <v>#REF!</v>
      </c>
      <c r="ED52" t="e">
        <f>AND(#REF!,"AAAAAGfq14U=")</f>
        <v>#REF!</v>
      </c>
      <c r="EE52" t="e">
        <f>AND(#REF!,"AAAAAGfq14Y=")</f>
        <v>#REF!</v>
      </c>
      <c r="EF52" t="e">
        <f>AND(#REF!,"AAAAAGfq14c=")</f>
        <v>#REF!</v>
      </c>
      <c r="EG52" t="e">
        <f>AND(#REF!,"AAAAAGfq14g=")</f>
        <v>#REF!</v>
      </c>
      <c r="EH52" t="e">
        <f>AND(#REF!,"AAAAAGfq14k=")</f>
        <v>#REF!</v>
      </c>
      <c r="EI52" t="e">
        <f>AND(#REF!,"AAAAAGfq14o=")</f>
        <v>#REF!</v>
      </c>
      <c r="EJ52" t="e">
        <f>AND(#REF!,"AAAAAGfq14s=")</f>
        <v>#REF!</v>
      </c>
      <c r="EK52" t="e">
        <f>AND(#REF!,"AAAAAGfq14w=")</f>
        <v>#REF!</v>
      </c>
      <c r="EL52" t="e">
        <f>AND(#REF!,"AAAAAGfq140=")</f>
        <v>#REF!</v>
      </c>
      <c r="EM52" t="e">
        <f>AND(#REF!,"AAAAAGfq144=")</f>
        <v>#REF!</v>
      </c>
      <c r="EN52" t="e">
        <f>AND(#REF!,"AAAAAGfq148=")</f>
        <v>#REF!</v>
      </c>
      <c r="EO52" t="e">
        <f>AND(#REF!,"AAAAAGfq15A=")</f>
        <v>#REF!</v>
      </c>
      <c r="EP52" t="e">
        <f>AND(#REF!,"AAAAAGfq15E=")</f>
        <v>#REF!</v>
      </c>
      <c r="EQ52" t="e">
        <f>AND(#REF!,"AAAAAGfq15I=")</f>
        <v>#REF!</v>
      </c>
      <c r="ER52" t="e">
        <f>AND(#REF!,"AAAAAGfq15M=")</f>
        <v>#REF!</v>
      </c>
      <c r="ES52" t="e">
        <f>AND(#REF!,"AAAAAGfq15Q=")</f>
        <v>#REF!</v>
      </c>
      <c r="ET52" t="e">
        <f>AND(#REF!,"AAAAAGfq15U=")</f>
        <v>#REF!</v>
      </c>
      <c r="EU52" t="e">
        <f>AND(#REF!,"AAAAAGfq15Y=")</f>
        <v>#REF!</v>
      </c>
      <c r="EV52" t="e">
        <f>AND(#REF!,"AAAAAGfq15c=")</f>
        <v>#REF!</v>
      </c>
      <c r="EW52" t="e">
        <f>AND(#REF!,"AAAAAGfq15g=")</f>
        <v>#REF!</v>
      </c>
      <c r="EX52" t="e">
        <f>AND(#REF!,"AAAAAGfq15k=")</f>
        <v>#REF!</v>
      </c>
      <c r="EY52" t="e">
        <f>AND(#REF!,"AAAAAGfq15o=")</f>
        <v>#REF!</v>
      </c>
      <c r="EZ52" t="e">
        <f>AND(#REF!,"AAAAAGfq15s=")</f>
        <v>#REF!</v>
      </c>
      <c r="FA52" t="e">
        <f>AND(#REF!,"AAAAAGfq15w=")</f>
        <v>#REF!</v>
      </c>
      <c r="FB52" t="e">
        <f>AND(#REF!,"AAAAAGfq150=")</f>
        <v>#REF!</v>
      </c>
      <c r="FC52" t="e">
        <f>AND(#REF!,"AAAAAGfq154=")</f>
        <v>#REF!</v>
      </c>
      <c r="FD52" t="e">
        <f>AND(#REF!,"AAAAAGfq158=")</f>
        <v>#REF!</v>
      </c>
      <c r="FE52" t="e">
        <f>AND(#REF!,"AAAAAGfq16A=")</f>
        <v>#REF!</v>
      </c>
      <c r="FF52" t="e">
        <f>AND(#REF!,"AAAAAGfq16E=")</f>
        <v>#REF!</v>
      </c>
      <c r="FG52" t="e">
        <f>AND(#REF!,"AAAAAGfq16I=")</f>
        <v>#REF!</v>
      </c>
      <c r="FH52" t="e">
        <f>AND(#REF!,"AAAAAGfq16M=")</f>
        <v>#REF!</v>
      </c>
      <c r="FI52" t="e">
        <f>AND(#REF!,"AAAAAGfq16Q=")</f>
        <v>#REF!</v>
      </c>
      <c r="FJ52" t="e">
        <f>AND(#REF!,"AAAAAGfq16U=")</f>
        <v>#REF!</v>
      </c>
      <c r="FK52" t="e">
        <f>AND(#REF!,"AAAAAGfq16Y=")</f>
        <v>#REF!</v>
      </c>
      <c r="FL52" t="e">
        <f>AND(#REF!,"AAAAAGfq16c=")</f>
        <v>#REF!</v>
      </c>
      <c r="FM52" t="e">
        <f>AND(#REF!,"AAAAAGfq16g=")</f>
        <v>#REF!</v>
      </c>
      <c r="FN52" t="e">
        <f>AND(#REF!,"AAAAAGfq16k=")</f>
        <v>#REF!</v>
      </c>
      <c r="FO52" t="e">
        <f>AND(#REF!,"AAAAAGfq16o=")</f>
        <v>#REF!</v>
      </c>
      <c r="FP52" t="e">
        <f>AND(#REF!,"AAAAAGfq16s=")</f>
        <v>#REF!</v>
      </c>
      <c r="FQ52" t="e">
        <f>AND(#REF!,"AAAAAGfq16w=")</f>
        <v>#REF!</v>
      </c>
      <c r="FR52" t="e">
        <f>AND(#REF!,"AAAAAGfq160=")</f>
        <v>#REF!</v>
      </c>
      <c r="FS52" t="e">
        <f>AND(#REF!,"AAAAAGfq164=")</f>
        <v>#REF!</v>
      </c>
      <c r="FT52" t="e">
        <f>AND(#REF!,"AAAAAGfq168=")</f>
        <v>#REF!</v>
      </c>
      <c r="FU52" t="e">
        <f>AND(#REF!,"AAAAAGfq17A=")</f>
        <v>#REF!</v>
      </c>
      <c r="FV52" t="e">
        <f>AND(#REF!,"AAAAAGfq17E=")</f>
        <v>#REF!</v>
      </c>
      <c r="FW52" t="e">
        <f>IF(#REF!,"AAAAAGfq17I=",0)</f>
        <v>#REF!</v>
      </c>
      <c r="FX52" t="e">
        <f>AND(#REF!,"AAAAAGfq17M=")</f>
        <v>#REF!</v>
      </c>
      <c r="FY52" t="e">
        <f>AND(#REF!,"AAAAAGfq17Q=")</f>
        <v>#REF!</v>
      </c>
      <c r="FZ52" t="e">
        <f>AND(#REF!,"AAAAAGfq17U=")</f>
        <v>#REF!</v>
      </c>
      <c r="GA52" t="e">
        <f>AND(#REF!,"AAAAAGfq17Y=")</f>
        <v>#REF!</v>
      </c>
      <c r="GB52" t="e">
        <f>AND(#REF!,"AAAAAGfq17c=")</f>
        <v>#REF!</v>
      </c>
      <c r="GC52" t="e">
        <f>AND(#REF!,"AAAAAGfq17g=")</f>
        <v>#REF!</v>
      </c>
      <c r="GD52" t="e">
        <f>AND(#REF!,"AAAAAGfq17k=")</f>
        <v>#REF!</v>
      </c>
      <c r="GE52" t="e">
        <f>AND(#REF!,"AAAAAGfq17o=")</f>
        <v>#REF!</v>
      </c>
      <c r="GF52" t="e">
        <f>AND(#REF!,"AAAAAGfq17s=")</f>
        <v>#REF!</v>
      </c>
      <c r="GG52" t="e">
        <f>AND(#REF!,"AAAAAGfq17w=")</f>
        <v>#REF!</v>
      </c>
      <c r="GH52" t="e">
        <f>AND(#REF!,"AAAAAGfq170=")</f>
        <v>#REF!</v>
      </c>
      <c r="GI52" t="e">
        <f>AND(#REF!,"AAAAAGfq174=")</f>
        <v>#REF!</v>
      </c>
      <c r="GJ52" t="e">
        <f>AND(#REF!,"AAAAAGfq178=")</f>
        <v>#REF!</v>
      </c>
      <c r="GK52" t="e">
        <f>AND(#REF!,"AAAAAGfq18A=")</f>
        <v>#REF!</v>
      </c>
      <c r="GL52" t="e">
        <f>AND(#REF!,"AAAAAGfq18E=")</f>
        <v>#REF!</v>
      </c>
      <c r="GM52" t="e">
        <f>AND(#REF!,"AAAAAGfq18I=")</f>
        <v>#REF!</v>
      </c>
      <c r="GN52" t="e">
        <f>AND(#REF!,"AAAAAGfq18M=")</f>
        <v>#REF!</v>
      </c>
      <c r="GO52" t="e">
        <f>AND(#REF!,"AAAAAGfq18Q=")</f>
        <v>#REF!</v>
      </c>
      <c r="GP52" t="e">
        <f>AND(#REF!,"AAAAAGfq18U=")</f>
        <v>#REF!</v>
      </c>
      <c r="GQ52" t="e">
        <f>AND(#REF!,"AAAAAGfq18Y=")</f>
        <v>#REF!</v>
      </c>
      <c r="GR52" t="e">
        <f>AND(#REF!,"AAAAAGfq18c=")</f>
        <v>#REF!</v>
      </c>
      <c r="GS52" t="e">
        <f>AND(#REF!,"AAAAAGfq18g=")</f>
        <v>#REF!</v>
      </c>
      <c r="GT52" t="e">
        <f>AND(#REF!,"AAAAAGfq18k=")</f>
        <v>#REF!</v>
      </c>
      <c r="GU52" t="e">
        <f>AND(#REF!,"AAAAAGfq18o=")</f>
        <v>#REF!</v>
      </c>
      <c r="GV52" t="e">
        <f>AND(#REF!,"AAAAAGfq18s=")</f>
        <v>#REF!</v>
      </c>
      <c r="GW52" t="e">
        <f>AND(#REF!,"AAAAAGfq18w=")</f>
        <v>#REF!</v>
      </c>
      <c r="GX52" t="e">
        <f>AND(#REF!,"AAAAAGfq180=")</f>
        <v>#REF!</v>
      </c>
      <c r="GY52" t="e">
        <f>AND(#REF!,"AAAAAGfq184=")</f>
        <v>#REF!</v>
      </c>
      <c r="GZ52" t="e">
        <f>AND(#REF!,"AAAAAGfq188=")</f>
        <v>#REF!</v>
      </c>
      <c r="HA52" t="e">
        <f>AND(#REF!,"AAAAAGfq19A=")</f>
        <v>#REF!</v>
      </c>
      <c r="HB52" t="e">
        <f>AND(#REF!,"AAAAAGfq19E=")</f>
        <v>#REF!</v>
      </c>
      <c r="HC52" t="e">
        <f>AND(#REF!,"AAAAAGfq19I=")</f>
        <v>#REF!</v>
      </c>
      <c r="HD52" t="e">
        <f>AND(#REF!,"AAAAAGfq19M=")</f>
        <v>#REF!</v>
      </c>
      <c r="HE52" t="e">
        <f>AND(#REF!,"AAAAAGfq19Q=")</f>
        <v>#REF!</v>
      </c>
      <c r="HF52" t="e">
        <f>AND(#REF!,"AAAAAGfq19U=")</f>
        <v>#REF!</v>
      </c>
      <c r="HG52" t="e">
        <f>AND(#REF!,"AAAAAGfq19Y=")</f>
        <v>#REF!</v>
      </c>
      <c r="HH52" t="e">
        <f>AND(#REF!,"AAAAAGfq19c=")</f>
        <v>#REF!</v>
      </c>
      <c r="HI52" t="e">
        <f>AND(#REF!,"AAAAAGfq19g=")</f>
        <v>#REF!</v>
      </c>
      <c r="HJ52" t="e">
        <f>AND(#REF!,"AAAAAGfq19k=")</f>
        <v>#REF!</v>
      </c>
      <c r="HK52" t="e">
        <f>AND(#REF!,"AAAAAGfq19o=")</f>
        <v>#REF!</v>
      </c>
      <c r="HL52" t="e">
        <f>AND(#REF!,"AAAAAGfq19s=")</f>
        <v>#REF!</v>
      </c>
      <c r="HM52" t="e">
        <f>AND(#REF!,"AAAAAGfq19w=")</f>
        <v>#REF!</v>
      </c>
      <c r="HN52" t="e">
        <f>AND(#REF!,"AAAAAGfq190=")</f>
        <v>#REF!</v>
      </c>
      <c r="HO52" t="e">
        <f>AND(#REF!,"AAAAAGfq194=")</f>
        <v>#REF!</v>
      </c>
      <c r="HP52" t="e">
        <f>AND(#REF!,"AAAAAGfq198=")</f>
        <v>#REF!</v>
      </c>
      <c r="HQ52" t="e">
        <f>AND(#REF!,"AAAAAGfq1+A=")</f>
        <v>#REF!</v>
      </c>
      <c r="HR52" t="e">
        <f>AND(#REF!,"AAAAAGfq1+E=")</f>
        <v>#REF!</v>
      </c>
      <c r="HS52" t="e">
        <f>AND(#REF!,"AAAAAGfq1+I=")</f>
        <v>#REF!</v>
      </c>
      <c r="HT52" t="e">
        <f>AND(#REF!,"AAAAAGfq1+M=")</f>
        <v>#REF!</v>
      </c>
      <c r="HU52" t="e">
        <f>AND(#REF!,"AAAAAGfq1+Q=")</f>
        <v>#REF!</v>
      </c>
      <c r="HV52" t="e">
        <f>AND(#REF!,"AAAAAGfq1+U=")</f>
        <v>#REF!</v>
      </c>
      <c r="HW52" t="e">
        <f>AND(#REF!,"AAAAAGfq1+Y=")</f>
        <v>#REF!</v>
      </c>
      <c r="HX52" t="e">
        <f>AND(#REF!,"AAAAAGfq1+c=")</f>
        <v>#REF!</v>
      </c>
      <c r="HY52" t="e">
        <f>AND(#REF!,"AAAAAGfq1+g=")</f>
        <v>#REF!</v>
      </c>
      <c r="HZ52" t="e">
        <f>IF(#REF!,"AAAAAGfq1+k=",0)</f>
        <v>#REF!</v>
      </c>
      <c r="IA52" t="e">
        <f>AND(#REF!,"AAAAAGfq1+o=")</f>
        <v>#REF!</v>
      </c>
      <c r="IB52" t="e">
        <f>AND(#REF!,"AAAAAGfq1+s=")</f>
        <v>#REF!</v>
      </c>
      <c r="IC52" t="e">
        <f>AND(#REF!,"AAAAAGfq1+w=")</f>
        <v>#REF!</v>
      </c>
      <c r="ID52" t="e">
        <f>AND(#REF!,"AAAAAGfq1+0=")</f>
        <v>#REF!</v>
      </c>
      <c r="IE52" t="e">
        <f>AND(#REF!,"AAAAAGfq1+4=")</f>
        <v>#REF!</v>
      </c>
      <c r="IF52" t="e">
        <f>AND(#REF!,"AAAAAGfq1+8=")</f>
        <v>#REF!</v>
      </c>
      <c r="IG52" t="e">
        <f>AND(#REF!,"AAAAAGfq1/A=")</f>
        <v>#REF!</v>
      </c>
      <c r="IH52" t="e">
        <f>AND(#REF!,"AAAAAGfq1/E=")</f>
        <v>#REF!</v>
      </c>
      <c r="II52" t="e">
        <f>AND(#REF!,"AAAAAGfq1/I=")</f>
        <v>#REF!</v>
      </c>
      <c r="IJ52" t="e">
        <f>AND(#REF!,"AAAAAGfq1/M=")</f>
        <v>#REF!</v>
      </c>
      <c r="IK52" t="e">
        <f>AND(#REF!,"AAAAAGfq1/Q=")</f>
        <v>#REF!</v>
      </c>
      <c r="IL52" t="e">
        <f>AND(#REF!,"AAAAAGfq1/U=")</f>
        <v>#REF!</v>
      </c>
      <c r="IM52" t="e">
        <f>AND(#REF!,"AAAAAGfq1/Y=")</f>
        <v>#REF!</v>
      </c>
      <c r="IN52" t="e">
        <f>AND(#REF!,"AAAAAGfq1/c=")</f>
        <v>#REF!</v>
      </c>
      <c r="IO52" t="e">
        <f>AND(#REF!,"AAAAAGfq1/g=")</f>
        <v>#REF!</v>
      </c>
      <c r="IP52" t="e">
        <f>AND(#REF!,"AAAAAGfq1/k=")</f>
        <v>#REF!</v>
      </c>
      <c r="IQ52" t="e">
        <f>AND(#REF!,"AAAAAGfq1/o=")</f>
        <v>#REF!</v>
      </c>
      <c r="IR52" t="e">
        <f>AND(#REF!,"AAAAAGfq1/s=")</f>
        <v>#REF!</v>
      </c>
      <c r="IS52" t="e">
        <f>AND(#REF!,"AAAAAGfq1/w=")</f>
        <v>#REF!</v>
      </c>
      <c r="IT52" t="e">
        <f>AND(#REF!,"AAAAAGfq1/0=")</f>
        <v>#REF!</v>
      </c>
      <c r="IU52" t="e">
        <f>AND(#REF!,"AAAAAGfq1/4=")</f>
        <v>#REF!</v>
      </c>
      <c r="IV52" t="e">
        <f>AND(#REF!,"AAAAAGfq1/8=")</f>
        <v>#REF!</v>
      </c>
    </row>
    <row r="53" spans="1:256" x14ac:dyDescent="0.25">
      <c r="A53" t="e">
        <f>AND(#REF!,"AAAAAG/fowA=")</f>
        <v>#REF!</v>
      </c>
      <c r="B53" t="e">
        <f>AND(#REF!,"AAAAAG/fowE=")</f>
        <v>#REF!</v>
      </c>
      <c r="C53" t="e">
        <f>AND(#REF!,"AAAAAG/fowI=")</f>
        <v>#REF!</v>
      </c>
      <c r="D53" t="e">
        <f>AND(#REF!,"AAAAAG/fowM=")</f>
        <v>#REF!</v>
      </c>
      <c r="E53" t="e">
        <f>AND(#REF!,"AAAAAG/fowQ=")</f>
        <v>#REF!</v>
      </c>
      <c r="F53" t="e">
        <f>AND(#REF!,"AAAAAG/fowU=")</f>
        <v>#REF!</v>
      </c>
      <c r="G53" t="e">
        <f>AND(#REF!,"AAAAAG/fowY=")</f>
        <v>#REF!</v>
      </c>
      <c r="H53" t="e">
        <f>AND(#REF!,"AAAAAG/fowc=")</f>
        <v>#REF!</v>
      </c>
      <c r="I53" t="e">
        <f>AND(#REF!,"AAAAAG/fowg=")</f>
        <v>#REF!</v>
      </c>
      <c r="J53" t="e">
        <f>AND(#REF!,"AAAAAG/fowk=")</f>
        <v>#REF!</v>
      </c>
      <c r="K53" t="e">
        <f>AND(#REF!,"AAAAAG/fowo=")</f>
        <v>#REF!</v>
      </c>
      <c r="L53" t="e">
        <f>AND(#REF!,"AAAAAG/fows=")</f>
        <v>#REF!</v>
      </c>
      <c r="M53" t="e">
        <f>AND(#REF!,"AAAAAG/foww=")</f>
        <v>#REF!</v>
      </c>
      <c r="N53" t="e">
        <f>AND(#REF!,"AAAAAG/fow0=")</f>
        <v>#REF!</v>
      </c>
      <c r="O53" t="e">
        <f>AND(#REF!,"AAAAAG/fow4=")</f>
        <v>#REF!</v>
      </c>
      <c r="P53" t="e">
        <f>AND(#REF!,"AAAAAG/fow8=")</f>
        <v>#REF!</v>
      </c>
      <c r="Q53" t="e">
        <f>AND(#REF!,"AAAAAG/foxA=")</f>
        <v>#REF!</v>
      </c>
      <c r="R53" t="e">
        <f>AND(#REF!,"AAAAAG/foxE=")</f>
        <v>#REF!</v>
      </c>
      <c r="S53" t="e">
        <f>AND(#REF!,"AAAAAG/foxI=")</f>
        <v>#REF!</v>
      </c>
      <c r="T53" t="e">
        <f>AND(#REF!,"AAAAAG/foxM=")</f>
        <v>#REF!</v>
      </c>
      <c r="U53" t="e">
        <f>AND(#REF!,"AAAAAG/foxQ=")</f>
        <v>#REF!</v>
      </c>
      <c r="V53" t="e">
        <f>AND(#REF!,"AAAAAG/foxU=")</f>
        <v>#REF!</v>
      </c>
      <c r="W53" t="e">
        <f>AND(#REF!,"AAAAAG/foxY=")</f>
        <v>#REF!</v>
      </c>
      <c r="X53" t="e">
        <f>AND(#REF!,"AAAAAG/foxc=")</f>
        <v>#REF!</v>
      </c>
      <c r="Y53" t="e">
        <f>AND(#REF!,"AAAAAG/foxg=")</f>
        <v>#REF!</v>
      </c>
      <c r="Z53" t="e">
        <f>AND(#REF!,"AAAAAG/foxk=")</f>
        <v>#REF!</v>
      </c>
      <c r="AA53" t="e">
        <f>AND(#REF!,"AAAAAG/foxo=")</f>
        <v>#REF!</v>
      </c>
      <c r="AB53" t="e">
        <f>AND(#REF!,"AAAAAG/foxs=")</f>
        <v>#REF!</v>
      </c>
      <c r="AC53" t="e">
        <f>AND(#REF!,"AAAAAG/foxw=")</f>
        <v>#REF!</v>
      </c>
      <c r="AD53" t="e">
        <f>AND(#REF!,"AAAAAG/fox0=")</f>
        <v>#REF!</v>
      </c>
      <c r="AE53" t="e">
        <f>AND(#REF!,"AAAAAG/fox4=")</f>
        <v>#REF!</v>
      </c>
      <c r="AF53" t="e">
        <f>AND(#REF!,"AAAAAG/fox8=")</f>
        <v>#REF!</v>
      </c>
      <c r="AG53" t="e">
        <f>IF(#REF!,"AAAAAG/foyA=",0)</f>
        <v>#REF!</v>
      </c>
      <c r="AH53" t="e">
        <f>AND(#REF!,"AAAAAG/foyE=")</f>
        <v>#REF!</v>
      </c>
      <c r="AI53" t="e">
        <f>AND(#REF!,"AAAAAG/foyI=")</f>
        <v>#REF!</v>
      </c>
      <c r="AJ53" t="e">
        <f>AND(#REF!,"AAAAAG/foyM=")</f>
        <v>#REF!</v>
      </c>
      <c r="AK53" t="e">
        <f>AND(#REF!,"AAAAAG/foyQ=")</f>
        <v>#REF!</v>
      </c>
      <c r="AL53" t="e">
        <f>AND(#REF!,"AAAAAG/foyU=")</f>
        <v>#REF!</v>
      </c>
      <c r="AM53" t="e">
        <f>AND(#REF!,"AAAAAG/foyY=")</f>
        <v>#REF!</v>
      </c>
      <c r="AN53" t="e">
        <f>AND(#REF!,"AAAAAG/foyc=")</f>
        <v>#REF!</v>
      </c>
      <c r="AO53" t="e">
        <f>AND(#REF!,"AAAAAG/foyg=")</f>
        <v>#REF!</v>
      </c>
      <c r="AP53" t="e">
        <f>AND(#REF!,"AAAAAG/foyk=")</f>
        <v>#REF!</v>
      </c>
      <c r="AQ53" t="e">
        <f>AND(#REF!,"AAAAAG/foyo=")</f>
        <v>#REF!</v>
      </c>
      <c r="AR53" t="e">
        <f>AND(#REF!,"AAAAAG/foys=")</f>
        <v>#REF!</v>
      </c>
      <c r="AS53" t="e">
        <f>AND(#REF!,"AAAAAG/foyw=")</f>
        <v>#REF!</v>
      </c>
      <c r="AT53" t="e">
        <f>AND(#REF!,"AAAAAG/foy0=")</f>
        <v>#REF!</v>
      </c>
      <c r="AU53" t="e">
        <f>AND(#REF!,"AAAAAG/foy4=")</f>
        <v>#REF!</v>
      </c>
      <c r="AV53" t="e">
        <f>AND(#REF!,"AAAAAG/foy8=")</f>
        <v>#REF!</v>
      </c>
      <c r="AW53" t="e">
        <f>AND(#REF!,"AAAAAG/fozA=")</f>
        <v>#REF!</v>
      </c>
      <c r="AX53" t="e">
        <f>AND(#REF!,"AAAAAG/fozE=")</f>
        <v>#REF!</v>
      </c>
      <c r="AY53" t="e">
        <f>AND(#REF!,"AAAAAG/fozI=")</f>
        <v>#REF!</v>
      </c>
      <c r="AZ53" t="e">
        <f>AND(#REF!,"AAAAAG/fozM=")</f>
        <v>#REF!</v>
      </c>
      <c r="BA53" t="e">
        <f>AND(#REF!,"AAAAAG/fozQ=")</f>
        <v>#REF!</v>
      </c>
      <c r="BB53" t="e">
        <f>AND(#REF!,"AAAAAG/fozU=")</f>
        <v>#REF!</v>
      </c>
      <c r="BC53" t="e">
        <f>AND(#REF!,"AAAAAG/fozY=")</f>
        <v>#REF!</v>
      </c>
      <c r="BD53" t="e">
        <f>AND(#REF!,"AAAAAG/fozc=")</f>
        <v>#REF!</v>
      </c>
      <c r="BE53" t="e">
        <f>AND(#REF!,"AAAAAG/fozg=")</f>
        <v>#REF!</v>
      </c>
      <c r="BF53" t="e">
        <f>AND(#REF!,"AAAAAG/fozk=")</f>
        <v>#REF!</v>
      </c>
      <c r="BG53" t="e">
        <f>AND(#REF!,"AAAAAG/fozo=")</f>
        <v>#REF!</v>
      </c>
      <c r="BH53" t="e">
        <f>AND(#REF!,"AAAAAG/fozs=")</f>
        <v>#REF!</v>
      </c>
      <c r="BI53" t="e">
        <f>AND(#REF!,"AAAAAG/fozw=")</f>
        <v>#REF!</v>
      </c>
      <c r="BJ53" t="e">
        <f>AND(#REF!,"AAAAAG/foz0=")</f>
        <v>#REF!</v>
      </c>
      <c r="BK53" t="e">
        <f>AND(#REF!,"AAAAAG/foz4=")</f>
        <v>#REF!</v>
      </c>
      <c r="BL53" t="e">
        <f>AND(#REF!,"AAAAAG/foz8=")</f>
        <v>#REF!</v>
      </c>
      <c r="BM53" t="e">
        <f>AND(#REF!,"AAAAAG/fo0A=")</f>
        <v>#REF!</v>
      </c>
      <c r="BN53" t="e">
        <f>AND(#REF!,"AAAAAG/fo0E=")</f>
        <v>#REF!</v>
      </c>
      <c r="BO53" t="e">
        <f>AND(#REF!,"AAAAAG/fo0I=")</f>
        <v>#REF!</v>
      </c>
      <c r="BP53" t="e">
        <f>AND(#REF!,"AAAAAG/fo0M=")</f>
        <v>#REF!</v>
      </c>
      <c r="BQ53" t="e">
        <f>AND(#REF!,"AAAAAG/fo0Q=")</f>
        <v>#REF!</v>
      </c>
      <c r="BR53" t="e">
        <f>AND(#REF!,"AAAAAG/fo0U=")</f>
        <v>#REF!</v>
      </c>
      <c r="BS53" t="e">
        <f>AND(#REF!,"AAAAAG/fo0Y=")</f>
        <v>#REF!</v>
      </c>
      <c r="BT53" t="e">
        <f>AND(#REF!,"AAAAAG/fo0c=")</f>
        <v>#REF!</v>
      </c>
      <c r="BU53" t="e">
        <f>AND(#REF!,"AAAAAG/fo0g=")</f>
        <v>#REF!</v>
      </c>
      <c r="BV53" t="e">
        <f>AND(#REF!,"AAAAAG/fo0k=")</f>
        <v>#REF!</v>
      </c>
      <c r="BW53" t="e">
        <f>AND(#REF!,"AAAAAG/fo0o=")</f>
        <v>#REF!</v>
      </c>
      <c r="BX53" t="e">
        <f>AND(#REF!,"AAAAAG/fo0s=")</f>
        <v>#REF!</v>
      </c>
      <c r="BY53" t="e">
        <f>AND(#REF!,"AAAAAG/fo0w=")</f>
        <v>#REF!</v>
      </c>
      <c r="BZ53" t="e">
        <f>AND(#REF!,"AAAAAG/fo00=")</f>
        <v>#REF!</v>
      </c>
      <c r="CA53" t="e">
        <f>AND(#REF!,"AAAAAG/fo04=")</f>
        <v>#REF!</v>
      </c>
      <c r="CB53" t="e">
        <f>AND(#REF!,"AAAAAG/fo08=")</f>
        <v>#REF!</v>
      </c>
      <c r="CC53" t="e">
        <f>AND(#REF!,"AAAAAG/fo1A=")</f>
        <v>#REF!</v>
      </c>
      <c r="CD53" t="e">
        <f>AND(#REF!,"AAAAAG/fo1E=")</f>
        <v>#REF!</v>
      </c>
      <c r="CE53" t="e">
        <f>AND(#REF!,"AAAAAG/fo1I=")</f>
        <v>#REF!</v>
      </c>
      <c r="CF53" t="e">
        <f>AND(#REF!,"AAAAAG/fo1M=")</f>
        <v>#REF!</v>
      </c>
      <c r="CG53" t="e">
        <f>AND(#REF!,"AAAAAG/fo1Q=")</f>
        <v>#REF!</v>
      </c>
      <c r="CH53" t="e">
        <f>AND(#REF!,"AAAAAG/fo1U=")</f>
        <v>#REF!</v>
      </c>
      <c r="CI53" t="e">
        <f>AND(#REF!,"AAAAAG/fo1Y=")</f>
        <v>#REF!</v>
      </c>
      <c r="CJ53" t="e">
        <f>IF(#REF!,"AAAAAG/fo1c=",0)</f>
        <v>#REF!</v>
      </c>
      <c r="CK53" t="e">
        <f>AND(#REF!,"AAAAAG/fo1g=")</f>
        <v>#REF!</v>
      </c>
      <c r="CL53" t="e">
        <f>AND(#REF!,"AAAAAG/fo1k=")</f>
        <v>#REF!</v>
      </c>
      <c r="CM53" t="e">
        <f>AND(#REF!,"AAAAAG/fo1o=")</f>
        <v>#REF!</v>
      </c>
      <c r="CN53" t="e">
        <f>AND(#REF!,"AAAAAG/fo1s=")</f>
        <v>#REF!</v>
      </c>
      <c r="CO53" t="e">
        <f>AND(#REF!,"AAAAAG/fo1w=")</f>
        <v>#REF!</v>
      </c>
      <c r="CP53" t="e">
        <f>AND(#REF!,"AAAAAG/fo10=")</f>
        <v>#REF!</v>
      </c>
      <c r="CQ53" t="e">
        <f>AND(#REF!,"AAAAAG/fo14=")</f>
        <v>#REF!</v>
      </c>
      <c r="CR53" t="e">
        <f>AND(#REF!,"AAAAAG/fo18=")</f>
        <v>#REF!</v>
      </c>
      <c r="CS53" t="e">
        <f>AND(#REF!,"AAAAAG/fo2A=")</f>
        <v>#REF!</v>
      </c>
      <c r="CT53" t="e">
        <f>AND(#REF!,"AAAAAG/fo2E=")</f>
        <v>#REF!</v>
      </c>
      <c r="CU53" t="e">
        <f>AND(#REF!,"AAAAAG/fo2I=")</f>
        <v>#REF!</v>
      </c>
      <c r="CV53" t="e">
        <f>AND(#REF!,"AAAAAG/fo2M=")</f>
        <v>#REF!</v>
      </c>
      <c r="CW53" t="e">
        <f>AND(#REF!,"AAAAAG/fo2Q=")</f>
        <v>#REF!</v>
      </c>
      <c r="CX53" t="e">
        <f>AND(#REF!,"AAAAAG/fo2U=")</f>
        <v>#REF!</v>
      </c>
      <c r="CY53" t="e">
        <f>AND(#REF!,"AAAAAG/fo2Y=")</f>
        <v>#REF!</v>
      </c>
      <c r="CZ53" t="e">
        <f>AND(#REF!,"AAAAAG/fo2c=")</f>
        <v>#REF!</v>
      </c>
      <c r="DA53" t="e">
        <f>AND(#REF!,"AAAAAG/fo2g=")</f>
        <v>#REF!</v>
      </c>
      <c r="DB53" t="e">
        <f>AND(#REF!,"AAAAAG/fo2k=")</f>
        <v>#REF!</v>
      </c>
      <c r="DC53" t="e">
        <f>AND(#REF!,"AAAAAG/fo2o=")</f>
        <v>#REF!</v>
      </c>
      <c r="DD53" t="e">
        <f>AND(#REF!,"AAAAAG/fo2s=")</f>
        <v>#REF!</v>
      </c>
      <c r="DE53" t="e">
        <f>AND(#REF!,"AAAAAG/fo2w=")</f>
        <v>#REF!</v>
      </c>
      <c r="DF53" t="e">
        <f>AND(#REF!,"AAAAAG/fo20=")</f>
        <v>#REF!</v>
      </c>
      <c r="DG53" t="e">
        <f>AND(#REF!,"AAAAAG/fo24=")</f>
        <v>#REF!</v>
      </c>
      <c r="DH53" t="e">
        <f>AND(#REF!,"AAAAAG/fo28=")</f>
        <v>#REF!</v>
      </c>
      <c r="DI53" t="e">
        <f>AND(#REF!,"AAAAAG/fo3A=")</f>
        <v>#REF!</v>
      </c>
      <c r="DJ53" t="e">
        <f>AND(#REF!,"AAAAAG/fo3E=")</f>
        <v>#REF!</v>
      </c>
      <c r="DK53" t="e">
        <f>AND(#REF!,"AAAAAG/fo3I=")</f>
        <v>#REF!</v>
      </c>
      <c r="DL53" t="e">
        <f>AND(#REF!,"AAAAAG/fo3M=")</f>
        <v>#REF!</v>
      </c>
      <c r="DM53" t="e">
        <f>AND(#REF!,"AAAAAG/fo3Q=")</f>
        <v>#REF!</v>
      </c>
      <c r="DN53" t="e">
        <f>AND(#REF!,"AAAAAG/fo3U=")</f>
        <v>#REF!</v>
      </c>
      <c r="DO53" t="e">
        <f>AND(#REF!,"AAAAAG/fo3Y=")</f>
        <v>#REF!</v>
      </c>
      <c r="DP53" t="e">
        <f>AND(#REF!,"AAAAAG/fo3c=")</f>
        <v>#REF!</v>
      </c>
      <c r="DQ53" t="e">
        <f>AND(#REF!,"AAAAAG/fo3g=")</f>
        <v>#REF!</v>
      </c>
      <c r="DR53" t="e">
        <f>AND(#REF!,"AAAAAG/fo3k=")</f>
        <v>#REF!</v>
      </c>
      <c r="DS53" t="e">
        <f>AND(#REF!,"AAAAAG/fo3o=")</f>
        <v>#REF!</v>
      </c>
      <c r="DT53" t="e">
        <f>AND(#REF!,"AAAAAG/fo3s=")</f>
        <v>#REF!</v>
      </c>
      <c r="DU53" t="e">
        <f>AND(#REF!,"AAAAAG/fo3w=")</f>
        <v>#REF!</v>
      </c>
      <c r="DV53" t="e">
        <f>AND(#REF!,"AAAAAG/fo30=")</f>
        <v>#REF!</v>
      </c>
      <c r="DW53" t="e">
        <f>AND(#REF!,"AAAAAG/fo34=")</f>
        <v>#REF!</v>
      </c>
      <c r="DX53" t="e">
        <f>AND(#REF!,"AAAAAG/fo38=")</f>
        <v>#REF!</v>
      </c>
      <c r="DY53" t="e">
        <f>AND(#REF!,"AAAAAG/fo4A=")</f>
        <v>#REF!</v>
      </c>
      <c r="DZ53" t="e">
        <f>AND(#REF!,"AAAAAG/fo4E=")</f>
        <v>#REF!</v>
      </c>
      <c r="EA53" t="e">
        <f>AND(#REF!,"AAAAAG/fo4I=")</f>
        <v>#REF!</v>
      </c>
      <c r="EB53" t="e">
        <f>AND(#REF!,"AAAAAG/fo4M=")</f>
        <v>#REF!</v>
      </c>
      <c r="EC53" t="e">
        <f>AND(#REF!,"AAAAAG/fo4Q=")</f>
        <v>#REF!</v>
      </c>
      <c r="ED53" t="e">
        <f>AND(#REF!,"AAAAAG/fo4U=")</f>
        <v>#REF!</v>
      </c>
      <c r="EE53" t="e">
        <f>AND(#REF!,"AAAAAG/fo4Y=")</f>
        <v>#REF!</v>
      </c>
      <c r="EF53" t="e">
        <f>AND(#REF!,"AAAAAG/fo4c=")</f>
        <v>#REF!</v>
      </c>
      <c r="EG53" t="e">
        <f>AND(#REF!,"AAAAAG/fo4g=")</f>
        <v>#REF!</v>
      </c>
      <c r="EH53" t="e">
        <f>AND(#REF!,"AAAAAG/fo4k=")</f>
        <v>#REF!</v>
      </c>
      <c r="EI53" t="e">
        <f>AND(#REF!,"AAAAAG/fo4o=")</f>
        <v>#REF!</v>
      </c>
      <c r="EJ53" t="e">
        <f>AND(#REF!,"AAAAAG/fo4s=")</f>
        <v>#REF!</v>
      </c>
      <c r="EK53" t="e">
        <f>AND(#REF!,"AAAAAG/fo4w=")</f>
        <v>#REF!</v>
      </c>
      <c r="EL53" t="e">
        <f>AND(#REF!,"AAAAAG/fo40=")</f>
        <v>#REF!</v>
      </c>
      <c r="EM53" t="e">
        <f>IF(#REF!,"AAAAAG/fo44=",0)</f>
        <v>#REF!</v>
      </c>
      <c r="EN53" t="e">
        <f>AND(#REF!,"AAAAAG/fo48=")</f>
        <v>#REF!</v>
      </c>
      <c r="EO53" t="e">
        <f>AND(#REF!,"AAAAAG/fo5A=")</f>
        <v>#REF!</v>
      </c>
      <c r="EP53" t="e">
        <f>AND(#REF!,"AAAAAG/fo5E=")</f>
        <v>#REF!</v>
      </c>
      <c r="EQ53" t="e">
        <f>AND(#REF!,"AAAAAG/fo5I=")</f>
        <v>#REF!</v>
      </c>
      <c r="ER53" t="e">
        <f>AND(#REF!,"AAAAAG/fo5M=")</f>
        <v>#REF!</v>
      </c>
      <c r="ES53" t="e">
        <f>AND(#REF!,"AAAAAG/fo5Q=")</f>
        <v>#REF!</v>
      </c>
      <c r="ET53" t="e">
        <f>AND(#REF!,"AAAAAG/fo5U=")</f>
        <v>#REF!</v>
      </c>
      <c r="EU53" t="e">
        <f>AND(#REF!,"AAAAAG/fo5Y=")</f>
        <v>#REF!</v>
      </c>
      <c r="EV53" t="e">
        <f>AND(#REF!,"AAAAAG/fo5c=")</f>
        <v>#REF!</v>
      </c>
      <c r="EW53" t="e">
        <f>AND(#REF!,"AAAAAG/fo5g=")</f>
        <v>#REF!</v>
      </c>
      <c r="EX53" t="e">
        <f>AND(#REF!,"AAAAAG/fo5k=")</f>
        <v>#REF!</v>
      </c>
      <c r="EY53" t="e">
        <f>AND(#REF!,"AAAAAG/fo5o=")</f>
        <v>#REF!</v>
      </c>
      <c r="EZ53" t="e">
        <f>AND(#REF!,"AAAAAG/fo5s=")</f>
        <v>#REF!</v>
      </c>
      <c r="FA53" t="e">
        <f>AND(#REF!,"AAAAAG/fo5w=")</f>
        <v>#REF!</v>
      </c>
      <c r="FB53" t="e">
        <f>AND(#REF!,"AAAAAG/fo50=")</f>
        <v>#REF!</v>
      </c>
      <c r="FC53" t="e">
        <f>AND(#REF!,"AAAAAG/fo54=")</f>
        <v>#REF!</v>
      </c>
      <c r="FD53" t="e">
        <f>AND(#REF!,"AAAAAG/fo58=")</f>
        <v>#REF!</v>
      </c>
      <c r="FE53" t="e">
        <f>AND(#REF!,"AAAAAG/fo6A=")</f>
        <v>#REF!</v>
      </c>
      <c r="FF53" t="e">
        <f>AND(#REF!,"AAAAAG/fo6E=")</f>
        <v>#REF!</v>
      </c>
      <c r="FG53" t="e">
        <f>AND(#REF!,"AAAAAG/fo6I=")</f>
        <v>#REF!</v>
      </c>
      <c r="FH53" t="e">
        <f>AND(#REF!,"AAAAAG/fo6M=")</f>
        <v>#REF!</v>
      </c>
      <c r="FI53" t="e">
        <f>AND(#REF!,"AAAAAG/fo6Q=")</f>
        <v>#REF!</v>
      </c>
      <c r="FJ53" t="e">
        <f>AND(#REF!,"AAAAAG/fo6U=")</f>
        <v>#REF!</v>
      </c>
      <c r="FK53" t="e">
        <f>AND(#REF!,"AAAAAG/fo6Y=")</f>
        <v>#REF!</v>
      </c>
      <c r="FL53" t="e">
        <f>AND(#REF!,"AAAAAG/fo6c=")</f>
        <v>#REF!</v>
      </c>
      <c r="FM53" t="e">
        <f>AND(#REF!,"AAAAAG/fo6g=")</f>
        <v>#REF!</v>
      </c>
      <c r="FN53" t="e">
        <f>AND(#REF!,"AAAAAG/fo6k=")</f>
        <v>#REF!</v>
      </c>
      <c r="FO53" t="e">
        <f>AND(#REF!,"AAAAAG/fo6o=")</f>
        <v>#REF!</v>
      </c>
      <c r="FP53" t="e">
        <f>AND(#REF!,"AAAAAG/fo6s=")</f>
        <v>#REF!</v>
      </c>
      <c r="FQ53" t="e">
        <f>AND(#REF!,"AAAAAG/fo6w=")</f>
        <v>#REF!</v>
      </c>
      <c r="FR53" t="e">
        <f>AND(#REF!,"AAAAAG/fo60=")</f>
        <v>#REF!</v>
      </c>
      <c r="FS53" t="e">
        <f>AND(#REF!,"AAAAAG/fo64=")</f>
        <v>#REF!</v>
      </c>
      <c r="FT53" t="e">
        <f>AND(#REF!,"AAAAAG/fo68=")</f>
        <v>#REF!</v>
      </c>
      <c r="FU53" t="e">
        <f>AND(#REF!,"AAAAAG/fo7A=")</f>
        <v>#REF!</v>
      </c>
      <c r="FV53" t="e">
        <f>AND(#REF!,"AAAAAG/fo7E=")</f>
        <v>#REF!</v>
      </c>
      <c r="FW53" t="e">
        <f>AND(#REF!,"AAAAAG/fo7I=")</f>
        <v>#REF!</v>
      </c>
      <c r="FX53" t="e">
        <f>AND(#REF!,"AAAAAG/fo7M=")</f>
        <v>#REF!</v>
      </c>
      <c r="FY53" t="e">
        <f>AND(#REF!,"AAAAAG/fo7Q=")</f>
        <v>#REF!</v>
      </c>
      <c r="FZ53" t="e">
        <f>AND(#REF!,"AAAAAG/fo7U=")</f>
        <v>#REF!</v>
      </c>
      <c r="GA53" t="e">
        <f>AND(#REF!,"AAAAAG/fo7Y=")</f>
        <v>#REF!</v>
      </c>
      <c r="GB53" t="e">
        <f>AND(#REF!,"AAAAAG/fo7c=")</f>
        <v>#REF!</v>
      </c>
      <c r="GC53" t="e">
        <f>AND(#REF!,"AAAAAG/fo7g=")</f>
        <v>#REF!</v>
      </c>
      <c r="GD53" t="e">
        <f>AND(#REF!,"AAAAAG/fo7k=")</f>
        <v>#REF!</v>
      </c>
      <c r="GE53" t="e">
        <f>AND(#REF!,"AAAAAG/fo7o=")</f>
        <v>#REF!</v>
      </c>
      <c r="GF53" t="e">
        <f>AND(#REF!,"AAAAAG/fo7s=")</f>
        <v>#REF!</v>
      </c>
      <c r="GG53" t="e">
        <f>AND(#REF!,"AAAAAG/fo7w=")</f>
        <v>#REF!</v>
      </c>
      <c r="GH53" t="e">
        <f>AND(#REF!,"AAAAAG/fo70=")</f>
        <v>#REF!</v>
      </c>
      <c r="GI53" t="e">
        <f>AND(#REF!,"AAAAAG/fo74=")</f>
        <v>#REF!</v>
      </c>
      <c r="GJ53" t="e">
        <f>AND(#REF!,"AAAAAG/fo78=")</f>
        <v>#REF!</v>
      </c>
      <c r="GK53" t="e">
        <f>AND(#REF!,"AAAAAG/fo8A=")</f>
        <v>#REF!</v>
      </c>
      <c r="GL53" t="e">
        <f>AND(#REF!,"AAAAAG/fo8E=")</f>
        <v>#REF!</v>
      </c>
      <c r="GM53" t="e">
        <f>AND(#REF!,"AAAAAG/fo8I=")</f>
        <v>#REF!</v>
      </c>
      <c r="GN53" t="e">
        <f>AND(#REF!,"AAAAAG/fo8M=")</f>
        <v>#REF!</v>
      </c>
      <c r="GO53" t="e">
        <f>AND(#REF!,"AAAAAG/fo8Q=")</f>
        <v>#REF!</v>
      </c>
      <c r="GP53" t="e">
        <f>IF(#REF!,"AAAAAG/fo8U=",0)</f>
        <v>#REF!</v>
      </c>
      <c r="GQ53" t="e">
        <f>AND(#REF!,"AAAAAG/fo8Y=")</f>
        <v>#REF!</v>
      </c>
      <c r="GR53" t="e">
        <f>AND(#REF!,"AAAAAG/fo8c=")</f>
        <v>#REF!</v>
      </c>
      <c r="GS53" t="e">
        <f>AND(#REF!,"AAAAAG/fo8g=")</f>
        <v>#REF!</v>
      </c>
      <c r="GT53" t="e">
        <f>AND(#REF!,"AAAAAG/fo8k=")</f>
        <v>#REF!</v>
      </c>
      <c r="GU53" t="e">
        <f>AND(#REF!,"AAAAAG/fo8o=")</f>
        <v>#REF!</v>
      </c>
      <c r="GV53" t="e">
        <f>AND(#REF!,"AAAAAG/fo8s=")</f>
        <v>#REF!</v>
      </c>
      <c r="GW53" t="e">
        <f>AND(#REF!,"AAAAAG/fo8w=")</f>
        <v>#REF!</v>
      </c>
      <c r="GX53" t="e">
        <f>AND(#REF!,"AAAAAG/fo80=")</f>
        <v>#REF!</v>
      </c>
      <c r="GY53" t="e">
        <f>AND(#REF!,"AAAAAG/fo84=")</f>
        <v>#REF!</v>
      </c>
      <c r="GZ53" t="e">
        <f>AND(#REF!,"AAAAAG/fo88=")</f>
        <v>#REF!</v>
      </c>
      <c r="HA53" t="e">
        <f>AND(#REF!,"AAAAAG/fo9A=")</f>
        <v>#REF!</v>
      </c>
      <c r="HB53" t="e">
        <f>AND(#REF!,"AAAAAG/fo9E=")</f>
        <v>#REF!</v>
      </c>
      <c r="HC53" t="e">
        <f>AND(#REF!,"AAAAAG/fo9I=")</f>
        <v>#REF!</v>
      </c>
      <c r="HD53" t="e">
        <f>AND(#REF!,"AAAAAG/fo9M=")</f>
        <v>#REF!</v>
      </c>
      <c r="HE53" t="e">
        <f>AND(#REF!,"AAAAAG/fo9Q=")</f>
        <v>#REF!</v>
      </c>
      <c r="HF53" t="e">
        <f>AND(#REF!,"AAAAAG/fo9U=")</f>
        <v>#REF!</v>
      </c>
      <c r="HG53" t="e">
        <f>AND(#REF!,"AAAAAG/fo9Y=")</f>
        <v>#REF!</v>
      </c>
      <c r="HH53" t="e">
        <f>AND(#REF!,"AAAAAG/fo9c=")</f>
        <v>#REF!</v>
      </c>
      <c r="HI53" t="e">
        <f>AND(#REF!,"AAAAAG/fo9g=")</f>
        <v>#REF!</v>
      </c>
      <c r="HJ53" t="e">
        <f>AND(#REF!,"AAAAAG/fo9k=")</f>
        <v>#REF!</v>
      </c>
      <c r="HK53" t="e">
        <f>AND(#REF!,"AAAAAG/fo9o=")</f>
        <v>#REF!</v>
      </c>
      <c r="HL53" t="e">
        <f>AND(#REF!,"AAAAAG/fo9s=")</f>
        <v>#REF!</v>
      </c>
      <c r="HM53" t="e">
        <f>AND(#REF!,"AAAAAG/fo9w=")</f>
        <v>#REF!</v>
      </c>
      <c r="HN53" t="e">
        <f>AND(#REF!,"AAAAAG/fo90=")</f>
        <v>#REF!</v>
      </c>
      <c r="HO53" t="e">
        <f>AND(#REF!,"AAAAAG/fo94=")</f>
        <v>#REF!</v>
      </c>
      <c r="HP53" t="e">
        <f>AND(#REF!,"AAAAAG/fo98=")</f>
        <v>#REF!</v>
      </c>
      <c r="HQ53" t="e">
        <f>AND(#REF!,"AAAAAG/fo+A=")</f>
        <v>#REF!</v>
      </c>
      <c r="HR53" t="e">
        <f>AND(#REF!,"AAAAAG/fo+E=")</f>
        <v>#REF!</v>
      </c>
      <c r="HS53" t="e">
        <f>AND(#REF!,"AAAAAG/fo+I=")</f>
        <v>#REF!</v>
      </c>
      <c r="HT53" t="e">
        <f>AND(#REF!,"AAAAAG/fo+M=")</f>
        <v>#REF!</v>
      </c>
      <c r="HU53" t="e">
        <f>AND(#REF!,"AAAAAG/fo+Q=")</f>
        <v>#REF!</v>
      </c>
      <c r="HV53" t="e">
        <f>AND(#REF!,"AAAAAG/fo+U=")</f>
        <v>#REF!</v>
      </c>
      <c r="HW53" t="e">
        <f>AND(#REF!,"AAAAAG/fo+Y=")</f>
        <v>#REF!</v>
      </c>
      <c r="HX53" t="e">
        <f>AND(#REF!,"AAAAAG/fo+c=")</f>
        <v>#REF!</v>
      </c>
      <c r="HY53" t="e">
        <f>AND(#REF!,"AAAAAG/fo+g=")</f>
        <v>#REF!</v>
      </c>
      <c r="HZ53" t="e">
        <f>AND(#REF!,"AAAAAG/fo+k=")</f>
        <v>#REF!</v>
      </c>
      <c r="IA53" t="e">
        <f>AND(#REF!,"AAAAAG/fo+o=")</f>
        <v>#REF!</v>
      </c>
      <c r="IB53" t="e">
        <f>AND(#REF!,"AAAAAG/fo+s=")</f>
        <v>#REF!</v>
      </c>
      <c r="IC53" t="e">
        <f>AND(#REF!,"AAAAAG/fo+w=")</f>
        <v>#REF!</v>
      </c>
      <c r="ID53" t="e">
        <f>AND(#REF!,"AAAAAG/fo+0=")</f>
        <v>#REF!</v>
      </c>
      <c r="IE53" t="e">
        <f>AND(#REF!,"AAAAAG/fo+4=")</f>
        <v>#REF!</v>
      </c>
      <c r="IF53" t="e">
        <f>AND(#REF!,"AAAAAG/fo+8=")</f>
        <v>#REF!</v>
      </c>
      <c r="IG53" t="e">
        <f>AND(#REF!,"AAAAAG/fo/A=")</f>
        <v>#REF!</v>
      </c>
      <c r="IH53" t="e">
        <f>AND(#REF!,"AAAAAG/fo/E=")</f>
        <v>#REF!</v>
      </c>
      <c r="II53" t="e">
        <f>AND(#REF!,"AAAAAG/fo/I=")</f>
        <v>#REF!</v>
      </c>
      <c r="IJ53" t="e">
        <f>AND(#REF!,"AAAAAG/fo/M=")</f>
        <v>#REF!</v>
      </c>
      <c r="IK53" t="e">
        <f>AND(#REF!,"AAAAAG/fo/Q=")</f>
        <v>#REF!</v>
      </c>
      <c r="IL53" t="e">
        <f>AND(#REF!,"AAAAAG/fo/U=")</f>
        <v>#REF!</v>
      </c>
      <c r="IM53" t="e">
        <f>AND(#REF!,"AAAAAG/fo/Y=")</f>
        <v>#REF!</v>
      </c>
      <c r="IN53" t="e">
        <f>AND(#REF!,"AAAAAG/fo/c=")</f>
        <v>#REF!</v>
      </c>
      <c r="IO53" t="e">
        <f>AND(#REF!,"AAAAAG/fo/g=")</f>
        <v>#REF!</v>
      </c>
      <c r="IP53" t="e">
        <f>AND(#REF!,"AAAAAG/fo/k=")</f>
        <v>#REF!</v>
      </c>
      <c r="IQ53" t="e">
        <f>AND(#REF!,"AAAAAG/fo/o=")</f>
        <v>#REF!</v>
      </c>
      <c r="IR53" t="e">
        <f>AND(#REF!,"AAAAAG/fo/s=")</f>
        <v>#REF!</v>
      </c>
      <c r="IS53" t="e">
        <f>IF(#REF!,"AAAAAG/fo/w=",0)</f>
        <v>#REF!</v>
      </c>
      <c r="IT53" t="e">
        <f>AND(#REF!,"AAAAAG/fo/0=")</f>
        <v>#REF!</v>
      </c>
      <c r="IU53" t="e">
        <f>AND(#REF!,"AAAAAG/fo/4=")</f>
        <v>#REF!</v>
      </c>
      <c r="IV53" t="e">
        <f>AND(#REF!,"AAAAAG/fo/8=")</f>
        <v>#REF!</v>
      </c>
    </row>
    <row r="54" spans="1:256" x14ac:dyDescent="0.25">
      <c r="A54" t="e">
        <f>AND(#REF!,"AAAAAFf3vQA=")</f>
        <v>#REF!</v>
      </c>
      <c r="B54" t="e">
        <f>AND(#REF!,"AAAAAFf3vQE=")</f>
        <v>#REF!</v>
      </c>
      <c r="C54" t="e">
        <f>AND(#REF!,"AAAAAFf3vQI=")</f>
        <v>#REF!</v>
      </c>
      <c r="D54" t="e">
        <f>AND(#REF!,"AAAAAFf3vQM=")</f>
        <v>#REF!</v>
      </c>
      <c r="E54" t="e">
        <f>AND(#REF!,"AAAAAFf3vQQ=")</f>
        <v>#REF!</v>
      </c>
      <c r="F54" t="e">
        <f>AND(#REF!,"AAAAAFf3vQU=")</f>
        <v>#REF!</v>
      </c>
      <c r="G54" t="e">
        <f>AND(#REF!,"AAAAAFf3vQY=")</f>
        <v>#REF!</v>
      </c>
      <c r="H54" t="e">
        <f>AND(#REF!,"AAAAAFf3vQc=")</f>
        <v>#REF!</v>
      </c>
      <c r="I54" t="e">
        <f>AND(#REF!,"AAAAAFf3vQg=")</f>
        <v>#REF!</v>
      </c>
      <c r="J54" t="e">
        <f>AND(#REF!,"AAAAAFf3vQk=")</f>
        <v>#REF!</v>
      </c>
      <c r="K54" t="e">
        <f>AND(#REF!,"AAAAAFf3vQo=")</f>
        <v>#REF!</v>
      </c>
      <c r="L54" t="e">
        <f>AND(#REF!,"AAAAAFf3vQs=")</f>
        <v>#REF!</v>
      </c>
      <c r="M54" t="e">
        <f>AND(#REF!,"AAAAAFf3vQw=")</f>
        <v>#REF!</v>
      </c>
      <c r="N54" t="e">
        <f>AND(#REF!,"AAAAAFf3vQ0=")</f>
        <v>#REF!</v>
      </c>
      <c r="O54" t="e">
        <f>AND(#REF!,"AAAAAFf3vQ4=")</f>
        <v>#REF!</v>
      </c>
      <c r="P54" t="e">
        <f>AND(#REF!,"AAAAAFf3vQ8=")</f>
        <v>#REF!</v>
      </c>
      <c r="Q54" t="e">
        <f>AND(#REF!,"AAAAAFf3vRA=")</f>
        <v>#REF!</v>
      </c>
      <c r="R54" t="e">
        <f>AND(#REF!,"AAAAAFf3vRE=")</f>
        <v>#REF!</v>
      </c>
      <c r="S54" t="e">
        <f>AND(#REF!,"AAAAAFf3vRI=")</f>
        <v>#REF!</v>
      </c>
      <c r="T54" t="e">
        <f>AND(#REF!,"AAAAAFf3vRM=")</f>
        <v>#REF!</v>
      </c>
      <c r="U54" t="e">
        <f>AND(#REF!,"AAAAAFf3vRQ=")</f>
        <v>#REF!</v>
      </c>
      <c r="V54" t="e">
        <f>AND(#REF!,"AAAAAFf3vRU=")</f>
        <v>#REF!</v>
      </c>
      <c r="W54" t="e">
        <f>AND(#REF!,"AAAAAFf3vRY=")</f>
        <v>#REF!</v>
      </c>
      <c r="X54" t="e">
        <f>AND(#REF!,"AAAAAFf3vRc=")</f>
        <v>#REF!</v>
      </c>
      <c r="Y54" t="e">
        <f>AND(#REF!,"AAAAAFf3vRg=")</f>
        <v>#REF!</v>
      </c>
      <c r="Z54" t="e">
        <f>AND(#REF!,"AAAAAFf3vRk=")</f>
        <v>#REF!</v>
      </c>
      <c r="AA54" t="e">
        <f>AND(#REF!,"AAAAAFf3vRo=")</f>
        <v>#REF!</v>
      </c>
      <c r="AB54" t="e">
        <f>AND(#REF!,"AAAAAFf3vRs=")</f>
        <v>#REF!</v>
      </c>
      <c r="AC54" t="e">
        <f>AND(#REF!,"AAAAAFf3vRw=")</f>
        <v>#REF!</v>
      </c>
      <c r="AD54" t="e">
        <f>AND(#REF!,"AAAAAFf3vR0=")</f>
        <v>#REF!</v>
      </c>
      <c r="AE54" t="e">
        <f>AND(#REF!,"AAAAAFf3vR4=")</f>
        <v>#REF!</v>
      </c>
      <c r="AF54" t="e">
        <f>AND(#REF!,"AAAAAFf3vR8=")</f>
        <v>#REF!</v>
      </c>
      <c r="AG54" t="e">
        <f>AND(#REF!,"AAAAAFf3vSA=")</f>
        <v>#REF!</v>
      </c>
      <c r="AH54" t="e">
        <f>AND(#REF!,"AAAAAFf3vSE=")</f>
        <v>#REF!</v>
      </c>
      <c r="AI54" t="e">
        <f>AND(#REF!,"AAAAAFf3vSI=")</f>
        <v>#REF!</v>
      </c>
      <c r="AJ54" t="e">
        <f>AND(#REF!,"AAAAAFf3vSM=")</f>
        <v>#REF!</v>
      </c>
      <c r="AK54" t="e">
        <f>AND(#REF!,"AAAAAFf3vSQ=")</f>
        <v>#REF!</v>
      </c>
      <c r="AL54" t="e">
        <f>AND(#REF!,"AAAAAFf3vSU=")</f>
        <v>#REF!</v>
      </c>
      <c r="AM54" t="e">
        <f>AND(#REF!,"AAAAAFf3vSY=")</f>
        <v>#REF!</v>
      </c>
      <c r="AN54" t="e">
        <f>AND(#REF!,"AAAAAFf3vSc=")</f>
        <v>#REF!</v>
      </c>
      <c r="AO54" t="e">
        <f>AND(#REF!,"AAAAAFf3vSg=")</f>
        <v>#REF!</v>
      </c>
      <c r="AP54" t="e">
        <f>AND(#REF!,"AAAAAFf3vSk=")</f>
        <v>#REF!</v>
      </c>
      <c r="AQ54" t="e">
        <f>AND(#REF!,"AAAAAFf3vSo=")</f>
        <v>#REF!</v>
      </c>
      <c r="AR54" t="e">
        <f>AND(#REF!,"AAAAAFf3vSs=")</f>
        <v>#REF!</v>
      </c>
      <c r="AS54" t="e">
        <f>AND(#REF!,"AAAAAFf3vSw=")</f>
        <v>#REF!</v>
      </c>
      <c r="AT54" t="e">
        <f>AND(#REF!,"AAAAAFf3vS0=")</f>
        <v>#REF!</v>
      </c>
      <c r="AU54" t="e">
        <f>AND(#REF!,"AAAAAFf3vS4=")</f>
        <v>#REF!</v>
      </c>
      <c r="AV54" t="e">
        <f>AND(#REF!,"AAAAAFf3vS8=")</f>
        <v>#REF!</v>
      </c>
      <c r="AW54" t="e">
        <f>AND(#REF!,"AAAAAFf3vTA=")</f>
        <v>#REF!</v>
      </c>
      <c r="AX54" t="e">
        <f>AND(#REF!,"AAAAAFf3vTE=")</f>
        <v>#REF!</v>
      </c>
      <c r="AY54" t="e">
        <f>AND(#REF!,"AAAAAFf3vTI=")</f>
        <v>#REF!</v>
      </c>
      <c r="AZ54" t="e">
        <f>IF(#REF!,"AAAAAFf3vTM=",0)</f>
        <v>#REF!</v>
      </c>
      <c r="BA54" t="e">
        <f>AND(#REF!,"AAAAAFf3vTQ=")</f>
        <v>#REF!</v>
      </c>
      <c r="BB54" t="e">
        <f>AND(#REF!,"AAAAAFf3vTU=")</f>
        <v>#REF!</v>
      </c>
      <c r="BC54" t="e">
        <f>AND(#REF!,"AAAAAFf3vTY=")</f>
        <v>#REF!</v>
      </c>
      <c r="BD54" t="e">
        <f>AND(#REF!,"AAAAAFf3vTc=")</f>
        <v>#REF!</v>
      </c>
      <c r="BE54" t="e">
        <f>AND(#REF!,"AAAAAFf3vTg=")</f>
        <v>#REF!</v>
      </c>
      <c r="BF54" t="e">
        <f>AND(#REF!,"AAAAAFf3vTk=")</f>
        <v>#REF!</v>
      </c>
      <c r="BG54" t="e">
        <f>AND(#REF!,"AAAAAFf3vTo=")</f>
        <v>#REF!</v>
      </c>
      <c r="BH54" t="e">
        <f>AND(#REF!,"AAAAAFf3vTs=")</f>
        <v>#REF!</v>
      </c>
      <c r="BI54" t="e">
        <f>AND(#REF!,"AAAAAFf3vTw=")</f>
        <v>#REF!</v>
      </c>
      <c r="BJ54" t="e">
        <f>AND(#REF!,"AAAAAFf3vT0=")</f>
        <v>#REF!</v>
      </c>
      <c r="BK54" t="e">
        <f>AND(#REF!,"AAAAAFf3vT4=")</f>
        <v>#REF!</v>
      </c>
      <c r="BL54" t="e">
        <f>AND(#REF!,"AAAAAFf3vT8=")</f>
        <v>#REF!</v>
      </c>
      <c r="BM54" t="e">
        <f>AND(#REF!,"AAAAAFf3vUA=")</f>
        <v>#REF!</v>
      </c>
      <c r="BN54" t="e">
        <f>AND(#REF!,"AAAAAFf3vUE=")</f>
        <v>#REF!</v>
      </c>
      <c r="BO54" t="e">
        <f>AND(#REF!,"AAAAAFf3vUI=")</f>
        <v>#REF!</v>
      </c>
      <c r="BP54" t="e">
        <f>AND(#REF!,"AAAAAFf3vUM=")</f>
        <v>#REF!</v>
      </c>
      <c r="BQ54" t="e">
        <f>AND(#REF!,"AAAAAFf3vUQ=")</f>
        <v>#REF!</v>
      </c>
      <c r="BR54" t="e">
        <f>AND(#REF!,"AAAAAFf3vUU=")</f>
        <v>#REF!</v>
      </c>
      <c r="BS54" t="e">
        <f>AND(#REF!,"AAAAAFf3vUY=")</f>
        <v>#REF!</v>
      </c>
      <c r="BT54" t="e">
        <f>AND(#REF!,"AAAAAFf3vUc=")</f>
        <v>#REF!</v>
      </c>
      <c r="BU54" t="e">
        <f>AND(#REF!,"AAAAAFf3vUg=")</f>
        <v>#REF!</v>
      </c>
      <c r="BV54" t="e">
        <f>AND(#REF!,"AAAAAFf3vUk=")</f>
        <v>#REF!</v>
      </c>
      <c r="BW54" t="e">
        <f>AND(#REF!,"AAAAAFf3vUo=")</f>
        <v>#REF!</v>
      </c>
      <c r="BX54" t="e">
        <f>AND(#REF!,"AAAAAFf3vUs=")</f>
        <v>#REF!</v>
      </c>
      <c r="BY54" t="e">
        <f>AND(#REF!,"AAAAAFf3vUw=")</f>
        <v>#REF!</v>
      </c>
      <c r="BZ54" t="e">
        <f>AND(#REF!,"AAAAAFf3vU0=")</f>
        <v>#REF!</v>
      </c>
      <c r="CA54" t="e">
        <f>AND(#REF!,"AAAAAFf3vU4=")</f>
        <v>#REF!</v>
      </c>
      <c r="CB54" t="e">
        <f>AND(#REF!,"AAAAAFf3vU8=")</f>
        <v>#REF!</v>
      </c>
      <c r="CC54" t="e">
        <f>AND(#REF!,"AAAAAFf3vVA=")</f>
        <v>#REF!</v>
      </c>
      <c r="CD54" t="e">
        <f>AND(#REF!,"AAAAAFf3vVE=")</f>
        <v>#REF!</v>
      </c>
      <c r="CE54" t="e">
        <f>AND(#REF!,"AAAAAFf3vVI=")</f>
        <v>#REF!</v>
      </c>
      <c r="CF54" t="e">
        <f>AND(#REF!,"AAAAAFf3vVM=")</f>
        <v>#REF!</v>
      </c>
      <c r="CG54" t="e">
        <f>AND(#REF!,"AAAAAFf3vVQ=")</f>
        <v>#REF!</v>
      </c>
      <c r="CH54" t="e">
        <f>AND(#REF!,"AAAAAFf3vVU=")</f>
        <v>#REF!</v>
      </c>
      <c r="CI54" t="e">
        <f>AND(#REF!,"AAAAAFf3vVY=")</f>
        <v>#REF!</v>
      </c>
      <c r="CJ54" t="e">
        <f>AND(#REF!,"AAAAAFf3vVc=")</f>
        <v>#REF!</v>
      </c>
      <c r="CK54" t="e">
        <f>AND(#REF!,"AAAAAFf3vVg=")</f>
        <v>#REF!</v>
      </c>
      <c r="CL54" t="e">
        <f>AND(#REF!,"AAAAAFf3vVk=")</f>
        <v>#REF!</v>
      </c>
      <c r="CM54" t="e">
        <f>AND(#REF!,"AAAAAFf3vVo=")</f>
        <v>#REF!</v>
      </c>
      <c r="CN54" t="e">
        <f>AND(#REF!,"AAAAAFf3vVs=")</f>
        <v>#REF!</v>
      </c>
      <c r="CO54" t="e">
        <f>AND(#REF!,"AAAAAFf3vVw=")</f>
        <v>#REF!</v>
      </c>
      <c r="CP54" t="e">
        <f>AND(#REF!,"AAAAAFf3vV0=")</f>
        <v>#REF!</v>
      </c>
      <c r="CQ54" t="e">
        <f>AND(#REF!,"AAAAAFf3vV4=")</f>
        <v>#REF!</v>
      </c>
      <c r="CR54" t="e">
        <f>AND(#REF!,"AAAAAFf3vV8=")</f>
        <v>#REF!</v>
      </c>
      <c r="CS54" t="e">
        <f>AND(#REF!,"AAAAAFf3vWA=")</f>
        <v>#REF!</v>
      </c>
      <c r="CT54" t="e">
        <f>AND(#REF!,"AAAAAFf3vWE=")</f>
        <v>#REF!</v>
      </c>
      <c r="CU54" t="e">
        <f>AND(#REF!,"AAAAAFf3vWI=")</f>
        <v>#REF!</v>
      </c>
      <c r="CV54" t="e">
        <f>AND(#REF!,"AAAAAFf3vWM=")</f>
        <v>#REF!</v>
      </c>
      <c r="CW54" t="e">
        <f>AND(#REF!,"AAAAAFf3vWQ=")</f>
        <v>#REF!</v>
      </c>
      <c r="CX54" t="e">
        <f>AND(#REF!,"AAAAAFf3vWU=")</f>
        <v>#REF!</v>
      </c>
      <c r="CY54" t="e">
        <f>AND(#REF!,"AAAAAFf3vWY=")</f>
        <v>#REF!</v>
      </c>
      <c r="CZ54" t="e">
        <f>AND(#REF!,"AAAAAFf3vWc=")</f>
        <v>#REF!</v>
      </c>
      <c r="DA54" t="e">
        <f>AND(#REF!,"AAAAAFf3vWg=")</f>
        <v>#REF!</v>
      </c>
      <c r="DB54" t="e">
        <f>AND(#REF!,"AAAAAFf3vWk=")</f>
        <v>#REF!</v>
      </c>
      <c r="DC54" t="e">
        <f>IF(#REF!,"AAAAAFf3vWo=",0)</f>
        <v>#REF!</v>
      </c>
      <c r="DD54" t="e">
        <f>AND(#REF!,"AAAAAFf3vWs=")</f>
        <v>#REF!</v>
      </c>
      <c r="DE54" t="e">
        <f>AND(#REF!,"AAAAAFf3vWw=")</f>
        <v>#REF!</v>
      </c>
      <c r="DF54" t="e">
        <f>AND(#REF!,"AAAAAFf3vW0=")</f>
        <v>#REF!</v>
      </c>
      <c r="DG54" t="e">
        <f>AND(#REF!,"AAAAAFf3vW4=")</f>
        <v>#REF!</v>
      </c>
      <c r="DH54" t="e">
        <f>AND(#REF!,"AAAAAFf3vW8=")</f>
        <v>#REF!</v>
      </c>
      <c r="DI54" t="e">
        <f>AND(#REF!,"AAAAAFf3vXA=")</f>
        <v>#REF!</v>
      </c>
      <c r="DJ54" t="e">
        <f>AND(#REF!,"AAAAAFf3vXE=")</f>
        <v>#REF!</v>
      </c>
      <c r="DK54" t="e">
        <f>AND(#REF!,"AAAAAFf3vXI=")</f>
        <v>#REF!</v>
      </c>
      <c r="DL54" t="e">
        <f>AND(#REF!,"AAAAAFf3vXM=")</f>
        <v>#REF!</v>
      </c>
      <c r="DM54" t="e">
        <f>AND(#REF!,"AAAAAFf3vXQ=")</f>
        <v>#REF!</v>
      </c>
      <c r="DN54" t="e">
        <f>AND(#REF!,"AAAAAFf3vXU=")</f>
        <v>#REF!</v>
      </c>
      <c r="DO54" t="e">
        <f>AND(#REF!,"AAAAAFf3vXY=")</f>
        <v>#REF!</v>
      </c>
      <c r="DP54" t="e">
        <f>AND(#REF!,"AAAAAFf3vXc=")</f>
        <v>#REF!</v>
      </c>
      <c r="DQ54" t="e">
        <f>AND(#REF!,"AAAAAFf3vXg=")</f>
        <v>#REF!</v>
      </c>
      <c r="DR54" t="e">
        <f>AND(#REF!,"AAAAAFf3vXk=")</f>
        <v>#REF!</v>
      </c>
      <c r="DS54" t="e">
        <f>AND(#REF!,"AAAAAFf3vXo=")</f>
        <v>#REF!</v>
      </c>
      <c r="DT54" t="e">
        <f>AND(#REF!,"AAAAAFf3vXs=")</f>
        <v>#REF!</v>
      </c>
      <c r="DU54" t="e">
        <f>AND(#REF!,"AAAAAFf3vXw=")</f>
        <v>#REF!</v>
      </c>
      <c r="DV54" t="e">
        <f>AND(#REF!,"AAAAAFf3vX0=")</f>
        <v>#REF!</v>
      </c>
      <c r="DW54" t="e">
        <f>AND(#REF!,"AAAAAFf3vX4=")</f>
        <v>#REF!</v>
      </c>
      <c r="DX54" t="e">
        <f>AND(#REF!,"AAAAAFf3vX8=")</f>
        <v>#REF!</v>
      </c>
      <c r="DY54" t="e">
        <f>AND(#REF!,"AAAAAFf3vYA=")</f>
        <v>#REF!</v>
      </c>
      <c r="DZ54" t="e">
        <f>AND(#REF!,"AAAAAFf3vYE=")</f>
        <v>#REF!</v>
      </c>
      <c r="EA54" t="e">
        <f>AND(#REF!,"AAAAAFf3vYI=")</f>
        <v>#REF!</v>
      </c>
      <c r="EB54" t="e">
        <f>AND(#REF!,"AAAAAFf3vYM=")</f>
        <v>#REF!</v>
      </c>
      <c r="EC54" t="e">
        <f>AND(#REF!,"AAAAAFf3vYQ=")</f>
        <v>#REF!</v>
      </c>
      <c r="ED54" t="e">
        <f>AND(#REF!,"AAAAAFf3vYU=")</f>
        <v>#REF!</v>
      </c>
      <c r="EE54" t="e">
        <f>AND(#REF!,"AAAAAFf3vYY=")</f>
        <v>#REF!</v>
      </c>
      <c r="EF54" t="e">
        <f>AND(#REF!,"AAAAAFf3vYc=")</f>
        <v>#REF!</v>
      </c>
      <c r="EG54" t="e">
        <f>AND(#REF!,"AAAAAFf3vYg=")</f>
        <v>#REF!</v>
      </c>
      <c r="EH54" t="e">
        <f>AND(#REF!,"AAAAAFf3vYk=")</f>
        <v>#REF!</v>
      </c>
      <c r="EI54" t="e">
        <f>AND(#REF!,"AAAAAFf3vYo=")</f>
        <v>#REF!</v>
      </c>
      <c r="EJ54" t="e">
        <f>AND(#REF!,"AAAAAFf3vYs=")</f>
        <v>#REF!</v>
      </c>
      <c r="EK54" t="e">
        <f>AND(#REF!,"AAAAAFf3vYw=")</f>
        <v>#REF!</v>
      </c>
      <c r="EL54" t="e">
        <f>AND(#REF!,"AAAAAFf3vY0=")</f>
        <v>#REF!</v>
      </c>
      <c r="EM54" t="e">
        <f>AND(#REF!,"AAAAAFf3vY4=")</f>
        <v>#REF!</v>
      </c>
      <c r="EN54" t="e">
        <f>AND(#REF!,"AAAAAFf3vY8=")</f>
        <v>#REF!</v>
      </c>
      <c r="EO54" t="e">
        <f>AND(#REF!,"AAAAAFf3vZA=")</f>
        <v>#REF!</v>
      </c>
      <c r="EP54" t="e">
        <f>AND(#REF!,"AAAAAFf3vZE=")</f>
        <v>#REF!</v>
      </c>
      <c r="EQ54" t="e">
        <f>AND(#REF!,"AAAAAFf3vZI=")</f>
        <v>#REF!</v>
      </c>
      <c r="ER54" t="e">
        <f>AND(#REF!,"AAAAAFf3vZM=")</f>
        <v>#REF!</v>
      </c>
      <c r="ES54" t="e">
        <f>AND(#REF!,"AAAAAFf3vZQ=")</f>
        <v>#REF!</v>
      </c>
      <c r="ET54" t="e">
        <f>AND(#REF!,"AAAAAFf3vZU=")</f>
        <v>#REF!</v>
      </c>
      <c r="EU54" t="e">
        <f>AND(#REF!,"AAAAAFf3vZY=")</f>
        <v>#REF!</v>
      </c>
      <c r="EV54" t="e">
        <f>AND(#REF!,"AAAAAFf3vZc=")</f>
        <v>#REF!</v>
      </c>
      <c r="EW54" t="e">
        <f>AND(#REF!,"AAAAAFf3vZg=")</f>
        <v>#REF!</v>
      </c>
      <c r="EX54" t="e">
        <f>AND(#REF!,"AAAAAFf3vZk=")</f>
        <v>#REF!</v>
      </c>
      <c r="EY54" t="e">
        <f>AND(#REF!,"AAAAAFf3vZo=")</f>
        <v>#REF!</v>
      </c>
      <c r="EZ54" t="e">
        <f>AND(#REF!,"AAAAAFf3vZs=")</f>
        <v>#REF!</v>
      </c>
      <c r="FA54" t="e">
        <f>AND(#REF!,"AAAAAFf3vZw=")</f>
        <v>#REF!</v>
      </c>
      <c r="FB54" t="e">
        <f>AND(#REF!,"AAAAAFf3vZ0=")</f>
        <v>#REF!</v>
      </c>
      <c r="FC54" t="e">
        <f>AND(#REF!,"AAAAAFf3vZ4=")</f>
        <v>#REF!</v>
      </c>
      <c r="FD54" t="e">
        <f>AND(#REF!,"AAAAAFf3vZ8=")</f>
        <v>#REF!</v>
      </c>
      <c r="FE54" t="e">
        <f>AND(#REF!,"AAAAAFf3vaA=")</f>
        <v>#REF!</v>
      </c>
      <c r="FF54" t="e">
        <f>IF(#REF!,"AAAAAFf3vaE=",0)</f>
        <v>#REF!</v>
      </c>
      <c r="FG54" t="e">
        <f>AND(#REF!,"AAAAAFf3vaI=")</f>
        <v>#REF!</v>
      </c>
      <c r="FH54" t="e">
        <f>AND(#REF!,"AAAAAFf3vaM=")</f>
        <v>#REF!</v>
      </c>
      <c r="FI54" t="e">
        <f>AND(#REF!,"AAAAAFf3vaQ=")</f>
        <v>#REF!</v>
      </c>
      <c r="FJ54" t="e">
        <f>AND(#REF!,"AAAAAFf3vaU=")</f>
        <v>#REF!</v>
      </c>
      <c r="FK54" t="e">
        <f>AND(#REF!,"AAAAAFf3vaY=")</f>
        <v>#REF!</v>
      </c>
      <c r="FL54" t="e">
        <f>AND(#REF!,"AAAAAFf3vac=")</f>
        <v>#REF!</v>
      </c>
      <c r="FM54" t="e">
        <f>AND(#REF!,"AAAAAFf3vag=")</f>
        <v>#REF!</v>
      </c>
      <c r="FN54" t="e">
        <f>AND(#REF!,"AAAAAFf3vak=")</f>
        <v>#REF!</v>
      </c>
      <c r="FO54" t="e">
        <f>AND(#REF!,"AAAAAFf3vao=")</f>
        <v>#REF!</v>
      </c>
      <c r="FP54" t="e">
        <f>AND(#REF!,"AAAAAFf3vas=")</f>
        <v>#REF!</v>
      </c>
      <c r="FQ54" t="e">
        <f>AND(#REF!,"AAAAAFf3vaw=")</f>
        <v>#REF!</v>
      </c>
      <c r="FR54" t="e">
        <f>AND(#REF!,"AAAAAFf3va0=")</f>
        <v>#REF!</v>
      </c>
      <c r="FS54" t="e">
        <f>AND(#REF!,"AAAAAFf3va4=")</f>
        <v>#REF!</v>
      </c>
      <c r="FT54" t="e">
        <f>AND(#REF!,"AAAAAFf3va8=")</f>
        <v>#REF!</v>
      </c>
      <c r="FU54" t="e">
        <f>AND(#REF!,"AAAAAFf3vbA=")</f>
        <v>#REF!</v>
      </c>
      <c r="FV54" t="e">
        <f>AND(#REF!,"AAAAAFf3vbE=")</f>
        <v>#REF!</v>
      </c>
      <c r="FW54" t="e">
        <f>AND(#REF!,"AAAAAFf3vbI=")</f>
        <v>#REF!</v>
      </c>
      <c r="FX54" t="e">
        <f>AND(#REF!,"AAAAAFf3vbM=")</f>
        <v>#REF!</v>
      </c>
      <c r="FY54" t="e">
        <f>AND(#REF!,"AAAAAFf3vbQ=")</f>
        <v>#REF!</v>
      </c>
      <c r="FZ54" t="e">
        <f>AND(#REF!,"AAAAAFf3vbU=")</f>
        <v>#REF!</v>
      </c>
      <c r="GA54" t="e">
        <f>AND(#REF!,"AAAAAFf3vbY=")</f>
        <v>#REF!</v>
      </c>
      <c r="GB54" t="e">
        <f>AND(#REF!,"AAAAAFf3vbc=")</f>
        <v>#REF!</v>
      </c>
      <c r="GC54" t="e">
        <f>AND(#REF!,"AAAAAFf3vbg=")</f>
        <v>#REF!</v>
      </c>
      <c r="GD54" t="e">
        <f>AND(#REF!,"AAAAAFf3vbk=")</f>
        <v>#REF!</v>
      </c>
      <c r="GE54" t="e">
        <f>AND(#REF!,"AAAAAFf3vbo=")</f>
        <v>#REF!</v>
      </c>
      <c r="GF54" t="e">
        <f>AND(#REF!,"AAAAAFf3vbs=")</f>
        <v>#REF!</v>
      </c>
      <c r="GG54" t="e">
        <f>AND(#REF!,"AAAAAFf3vbw=")</f>
        <v>#REF!</v>
      </c>
      <c r="GH54" t="e">
        <f>AND(#REF!,"AAAAAFf3vb0=")</f>
        <v>#REF!</v>
      </c>
      <c r="GI54" t="e">
        <f>AND(#REF!,"AAAAAFf3vb4=")</f>
        <v>#REF!</v>
      </c>
      <c r="GJ54" t="e">
        <f>AND(#REF!,"AAAAAFf3vb8=")</f>
        <v>#REF!</v>
      </c>
      <c r="GK54" t="e">
        <f>AND(#REF!,"AAAAAFf3vcA=")</f>
        <v>#REF!</v>
      </c>
      <c r="GL54" t="e">
        <f>AND(#REF!,"AAAAAFf3vcE=")</f>
        <v>#REF!</v>
      </c>
      <c r="GM54" t="e">
        <f>AND(#REF!,"AAAAAFf3vcI=")</f>
        <v>#REF!</v>
      </c>
      <c r="GN54" t="e">
        <f>AND(#REF!,"AAAAAFf3vcM=")</f>
        <v>#REF!</v>
      </c>
      <c r="GO54" t="e">
        <f>AND(#REF!,"AAAAAFf3vcQ=")</f>
        <v>#REF!</v>
      </c>
      <c r="GP54" t="e">
        <f>AND(#REF!,"AAAAAFf3vcU=")</f>
        <v>#REF!</v>
      </c>
      <c r="GQ54" t="e">
        <f>AND(#REF!,"AAAAAFf3vcY=")</f>
        <v>#REF!</v>
      </c>
      <c r="GR54" t="e">
        <f>AND(#REF!,"AAAAAFf3vcc=")</f>
        <v>#REF!</v>
      </c>
      <c r="GS54" t="e">
        <f>AND(#REF!,"AAAAAFf3vcg=")</f>
        <v>#REF!</v>
      </c>
      <c r="GT54" t="e">
        <f>AND(#REF!,"AAAAAFf3vck=")</f>
        <v>#REF!</v>
      </c>
      <c r="GU54" t="e">
        <f>AND(#REF!,"AAAAAFf3vco=")</f>
        <v>#REF!</v>
      </c>
      <c r="GV54" t="e">
        <f>AND(#REF!,"AAAAAFf3vcs=")</f>
        <v>#REF!</v>
      </c>
      <c r="GW54" t="e">
        <f>AND(#REF!,"AAAAAFf3vcw=")</f>
        <v>#REF!</v>
      </c>
      <c r="GX54" t="e">
        <f>AND(#REF!,"AAAAAFf3vc0=")</f>
        <v>#REF!</v>
      </c>
      <c r="GY54" t="e">
        <f>AND(#REF!,"AAAAAFf3vc4=")</f>
        <v>#REF!</v>
      </c>
      <c r="GZ54" t="e">
        <f>AND(#REF!,"AAAAAFf3vc8=")</f>
        <v>#REF!</v>
      </c>
      <c r="HA54" t="e">
        <f>AND(#REF!,"AAAAAFf3vdA=")</f>
        <v>#REF!</v>
      </c>
      <c r="HB54" t="e">
        <f>AND(#REF!,"AAAAAFf3vdE=")</f>
        <v>#REF!</v>
      </c>
      <c r="HC54" t="e">
        <f>AND(#REF!,"AAAAAFf3vdI=")</f>
        <v>#REF!</v>
      </c>
      <c r="HD54" t="e">
        <f>AND(#REF!,"AAAAAFf3vdM=")</f>
        <v>#REF!</v>
      </c>
      <c r="HE54" t="e">
        <f>AND(#REF!,"AAAAAFf3vdQ=")</f>
        <v>#REF!</v>
      </c>
      <c r="HF54" t="e">
        <f>AND(#REF!,"AAAAAFf3vdU=")</f>
        <v>#REF!</v>
      </c>
      <c r="HG54" t="e">
        <f>AND(#REF!,"AAAAAFf3vdY=")</f>
        <v>#REF!</v>
      </c>
      <c r="HH54" t="e">
        <f>AND(#REF!,"AAAAAFf3vdc=")</f>
        <v>#REF!</v>
      </c>
      <c r="HI54" t="e">
        <f>IF(#REF!,"AAAAAFf3vdg=",0)</f>
        <v>#REF!</v>
      </c>
      <c r="HJ54" t="e">
        <f>AND(#REF!,"AAAAAFf3vdk=")</f>
        <v>#REF!</v>
      </c>
      <c r="HK54" t="e">
        <f>AND(#REF!,"AAAAAFf3vdo=")</f>
        <v>#REF!</v>
      </c>
      <c r="HL54" t="e">
        <f>AND(#REF!,"AAAAAFf3vds=")</f>
        <v>#REF!</v>
      </c>
      <c r="HM54" t="e">
        <f>AND(#REF!,"AAAAAFf3vdw=")</f>
        <v>#REF!</v>
      </c>
      <c r="HN54" t="e">
        <f>AND(#REF!,"AAAAAFf3vd0=")</f>
        <v>#REF!</v>
      </c>
      <c r="HO54" t="e">
        <f>AND(#REF!,"AAAAAFf3vd4=")</f>
        <v>#REF!</v>
      </c>
      <c r="HP54" t="e">
        <f>AND(#REF!,"AAAAAFf3vd8=")</f>
        <v>#REF!</v>
      </c>
      <c r="HQ54" t="e">
        <f>AND(#REF!,"AAAAAFf3veA=")</f>
        <v>#REF!</v>
      </c>
      <c r="HR54" t="e">
        <f>AND(#REF!,"AAAAAFf3veE=")</f>
        <v>#REF!</v>
      </c>
      <c r="HS54" t="e">
        <f>AND(#REF!,"AAAAAFf3veI=")</f>
        <v>#REF!</v>
      </c>
      <c r="HT54" t="e">
        <f>AND(#REF!,"AAAAAFf3veM=")</f>
        <v>#REF!</v>
      </c>
      <c r="HU54" t="e">
        <f>AND(#REF!,"AAAAAFf3veQ=")</f>
        <v>#REF!</v>
      </c>
      <c r="HV54" t="e">
        <f>AND(#REF!,"AAAAAFf3veU=")</f>
        <v>#REF!</v>
      </c>
      <c r="HW54" t="e">
        <f>AND(#REF!,"AAAAAFf3veY=")</f>
        <v>#REF!</v>
      </c>
      <c r="HX54" t="e">
        <f>AND(#REF!,"AAAAAFf3vec=")</f>
        <v>#REF!</v>
      </c>
      <c r="HY54" t="e">
        <f>AND(#REF!,"AAAAAFf3veg=")</f>
        <v>#REF!</v>
      </c>
      <c r="HZ54" t="e">
        <f>AND(#REF!,"AAAAAFf3vek=")</f>
        <v>#REF!</v>
      </c>
      <c r="IA54" t="e">
        <f>AND(#REF!,"AAAAAFf3veo=")</f>
        <v>#REF!</v>
      </c>
      <c r="IB54" t="e">
        <f>AND(#REF!,"AAAAAFf3ves=")</f>
        <v>#REF!</v>
      </c>
      <c r="IC54" t="e">
        <f>AND(#REF!,"AAAAAFf3vew=")</f>
        <v>#REF!</v>
      </c>
      <c r="ID54" t="e">
        <f>AND(#REF!,"AAAAAFf3ve0=")</f>
        <v>#REF!</v>
      </c>
      <c r="IE54" t="e">
        <f>AND(#REF!,"AAAAAFf3ve4=")</f>
        <v>#REF!</v>
      </c>
      <c r="IF54" t="e">
        <f>AND(#REF!,"AAAAAFf3ve8=")</f>
        <v>#REF!</v>
      </c>
      <c r="IG54" t="e">
        <f>AND(#REF!,"AAAAAFf3vfA=")</f>
        <v>#REF!</v>
      </c>
      <c r="IH54" t="e">
        <f>AND(#REF!,"AAAAAFf3vfE=")</f>
        <v>#REF!</v>
      </c>
      <c r="II54" t="e">
        <f>AND(#REF!,"AAAAAFf3vfI=")</f>
        <v>#REF!</v>
      </c>
      <c r="IJ54" t="e">
        <f>AND(#REF!,"AAAAAFf3vfM=")</f>
        <v>#REF!</v>
      </c>
      <c r="IK54" t="e">
        <f>AND(#REF!,"AAAAAFf3vfQ=")</f>
        <v>#REF!</v>
      </c>
      <c r="IL54" t="e">
        <f>AND(#REF!,"AAAAAFf3vfU=")</f>
        <v>#REF!</v>
      </c>
      <c r="IM54" t="e">
        <f>AND(#REF!,"AAAAAFf3vfY=")</f>
        <v>#REF!</v>
      </c>
      <c r="IN54" t="e">
        <f>AND(#REF!,"AAAAAFf3vfc=")</f>
        <v>#REF!</v>
      </c>
      <c r="IO54" t="e">
        <f>AND(#REF!,"AAAAAFf3vfg=")</f>
        <v>#REF!</v>
      </c>
      <c r="IP54" t="e">
        <f>AND(#REF!,"AAAAAFf3vfk=")</f>
        <v>#REF!</v>
      </c>
      <c r="IQ54" t="e">
        <f>AND(#REF!,"AAAAAFf3vfo=")</f>
        <v>#REF!</v>
      </c>
      <c r="IR54" t="e">
        <f>AND(#REF!,"AAAAAFf3vfs=")</f>
        <v>#REF!</v>
      </c>
      <c r="IS54" t="e">
        <f>AND(#REF!,"AAAAAFf3vfw=")</f>
        <v>#REF!</v>
      </c>
      <c r="IT54" t="e">
        <f>AND(#REF!,"AAAAAFf3vf0=")</f>
        <v>#REF!</v>
      </c>
      <c r="IU54" t="e">
        <f>AND(#REF!,"AAAAAFf3vf4=")</f>
        <v>#REF!</v>
      </c>
      <c r="IV54" t="e">
        <f>AND(#REF!,"AAAAAFf3vf8=")</f>
        <v>#REF!</v>
      </c>
    </row>
    <row r="55" spans="1:256" x14ac:dyDescent="0.25">
      <c r="A55" t="e">
        <f>AND(#REF!,"AAAAAH7+/QA=")</f>
        <v>#REF!</v>
      </c>
      <c r="B55" t="e">
        <f>AND(#REF!,"AAAAAH7+/QE=")</f>
        <v>#REF!</v>
      </c>
      <c r="C55" t="e">
        <f>AND(#REF!,"AAAAAH7+/QI=")</f>
        <v>#REF!</v>
      </c>
      <c r="D55" t="e">
        <f>AND(#REF!,"AAAAAH7+/QM=")</f>
        <v>#REF!</v>
      </c>
      <c r="E55" t="e">
        <f>AND(#REF!,"AAAAAH7+/QQ=")</f>
        <v>#REF!</v>
      </c>
      <c r="F55" t="e">
        <f>AND(#REF!,"AAAAAH7+/QU=")</f>
        <v>#REF!</v>
      </c>
      <c r="G55" t="e">
        <f>AND(#REF!,"AAAAAH7+/QY=")</f>
        <v>#REF!</v>
      </c>
      <c r="H55" t="e">
        <f>AND(#REF!,"AAAAAH7+/Qc=")</f>
        <v>#REF!</v>
      </c>
      <c r="I55" t="e">
        <f>AND(#REF!,"AAAAAH7+/Qg=")</f>
        <v>#REF!</v>
      </c>
      <c r="J55" t="e">
        <f>AND(#REF!,"AAAAAH7+/Qk=")</f>
        <v>#REF!</v>
      </c>
      <c r="K55" t="e">
        <f>AND(#REF!,"AAAAAH7+/Qo=")</f>
        <v>#REF!</v>
      </c>
      <c r="L55" t="e">
        <f>AND(#REF!,"AAAAAH7+/Qs=")</f>
        <v>#REF!</v>
      </c>
      <c r="M55" t="e">
        <f>AND(#REF!,"AAAAAH7+/Qw=")</f>
        <v>#REF!</v>
      </c>
      <c r="N55" t="e">
        <f>AND(#REF!,"AAAAAH7+/Q0=")</f>
        <v>#REF!</v>
      </c>
      <c r="O55" t="e">
        <f>AND(#REF!,"AAAAAH7+/Q4=")</f>
        <v>#REF!</v>
      </c>
      <c r="P55" t="e">
        <f>IF(#REF!,"AAAAAH7+/Q8=",0)</f>
        <v>#REF!</v>
      </c>
      <c r="Q55" t="e">
        <f>AND(#REF!,"AAAAAH7+/RA=")</f>
        <v>#REF!</v>
      </c>
      <c r="R55" t="e">
        <f>AND(#REF!,"AAAAAH7+/RE=")</f>
        <v>#REF!</v>
      </c>
      <c r="S55" t="e">
        <f>AND(#REF!,"AAAAAH7+/RI=")</f>
        <v>#REF!</v>
      </c>
      <c r="T55" t="e">
        <f>AND(#REF!,"AAAAAH7+/RM=")</f>
        <v>#REF!</v>
      </c>
      <c r="U55" t="e">
        <f>AND(#REF!,"AAAAAH7+/RQ=")</f>
        <v>#REF!</v>
      </c>
      <c r="V55" t="e">
        <f>AND(#REF!,"AAAAAH7+/RU=")</f>
        <v>#REF!</v>
      </c>
      <c r="W55" t="e">
        <f>AND(#REF!,"AAAAAH7+/RY=")</f>
        <v>#REF!</v>
      </c>
      <c r="X55" t="e">
        <f>AND(#REF!,"AAAAAH7+/Rc=")</f>
        <v>#REF!</v>
      </c>
      <c r="Y55" t="e">
        <f>AND(#REF!,"AAAAAH7+/Rg=")</f>
        <v>#REF!</v>
      </c>
      <c r="Z55" t="e">
        <f>AND(#REF!,"AAAAAH7+/Rk=")</f>
        <v>#REF!</v>
      </c>
      <c r="AA55" t="e">
        <f>AND(#REF!,"AAAAAH7+/Ro=")</f>
        <v>#REF!</v>
      </c>
      <c r="AB55" t="e">
        <f>AND(#REF!,"AAAAAH7+/Rs=")</f>
        <v>#REF!</v>
      </c>
      <c r="AC55" t="e">
        <f>AND(#REF!,"AAAAAH7+/Rw=")</f>
        <v>#REF!</v>
      </c>
      <c r="AD55" t="e">
        <f>AND(#REF!,"AAAAAH7+/R0=")</f>
        <v>#REF!</v>
      </c>
      <c r="AE55" t="e">
        <f>AND(#REF!,"AAAAAH7+/R4=")</f>
        <v>#REF!</v>
      </c>
      <c r="AF55" t="e">
        <f>AND(#REF!,"AAAAAH7+/R8=")</f>
        <v>#REF!</v>
      </c>
      <c r="AG55" t="e">
        <f>AND(#REF!,"AAAAAH7+/SA=")</f>
        <v>#REF!</v>
      </c>
      <c r="AH55" t="e">
        <f>AND(#REF!,"AAAAAH7+/SE=")</f>
        <v>#REF!</v>
      </c>
      <c r="AI55" t="e">
        <f>AND(#REF!,"AAAAAH7+/SI=")</f>
        <v>#REF!</v>
      </c>
      <c r="AJ55" t="e">
        <f>AND(#REF!,"AAAAAH7+/SM=")</f>
        <v>#REF!</v>
      </c>
      <c r="AK55" t="e">
        <f>AND(#REF!,"AAAAAH7+/SQ=")</f>
        <v>#REF!</v>
      </c>
      <c r="AL55" t="e">
        <f>AND(#REF!,"AAAAAH7+/SU=")</f>
        <v>#REF!</v>
      </c>
      <c r="AM55" t="e">
        <f>AND(#REF!,"AAAAAH7+/SY=")</f>
        <v>#REF!</v>
      </c>
      <c r="AN55" t="e">
        <f>AND(#REF!,"AAAAAH7+/Sc=")</f>
        <v>#REF!</v>
      </c>
      <c r="AO55" t="e">
        <f>AND(#REF!,"AAAAAH7+/Sg=")</f>
        <v>#REF!</v>
      </c>
      <c r="AP55" t="e">
        <f>AND(#REF!,"AAAAAH7+/Sk=")</f>
        <v>#REF!</v>
      </c>
      <c r="AQ55" t="e">
        <f>AND(#REF!,"AAAAAH7+/So=")</f>
        <v>#REF!</v>
      </c>
      <c r="AR55" t="e">
        <f>AND(#REF!,"AAAAAH7+/Ss=")</f>
        <v>#REF!</v>
      </c>
      <c r="AS55" t="e">
        <f>AND(#REF!,"AAAAAH7+/Sw=")</f>
        <v>#REF!</v>
      </c>
      <c r="AT55" t="e">
        <f>AND(#REF!,"AAAAAH7+/S0=")</f>
        <v>#REF!</v>
      </c>
      <c r="AU55" t="e">
        <f>AND(#REF!,"AAAAAH7+/S4=")</f>
        <v>#REF!</v>
      </c>
      <c r="AV55" t="e">
        <f>AND(#REF!,"AAAAAH7+/S8=")</f>
        <v>#REF!</v>
      </c>
      <c r="AW55" t="e">
        <f>AND(#REF!,"AAAAAH7+/TA=")</f>
        <v>#REF!</v>
      </c>
      <c r="AX55" t="e">
        <f>AND(#REF!,"AAAAAH7+/TE=")</f>
        <v>#REF!</v>
      </c>
      <c r="AY55" t="e">
        <f>AND(#REF!,"AAAAAH7+/TI=")</f>
        <v>#REF!</v>
      </c>
      <c r="AZ55" t="e">
        <f>AND(#REF!,"AAAAAH7+/TM=")</f>
        <v>#REF!</v>
      </c>
      <c r="BA55" t="e">
        <f>AND(#REF!,"AAAAAH7+/TQ=")</f>
        <v>#REF!</v>
      </c>
      <c r="BB55" t="e">
        <f>AND(#REF!,"AAAAAH7+/TU=")</f>
        <v>#REF!</v>
      </c>
      <c r="BC55" t="e">
        <f>AND(#REF!,"AAAAAH7+/TY=")</f>
        <v>#REF!</v>
      </c>
      <c r="BD55" t="e">
        <f>AND(#REF!,"AAAAAH7+/Tc=")</f>
        <v>#REF!</v>
      </c>
      <c r="BE55" t="e">
        <f>AND(#REF!,"AAAAAH7+/Tg=")</f>
        <v>#REF!</v>
      </c>
      <c r="BF55" t="e">
        <f>AND(#REF!,"AAAAAH7+/Tk=")</f>
        <v>#REF!</v>
      </c>
      <c r="BG55" t="e">
        <f>AND(#REF!,"AAAAAH7+/To=")</f>
        <v>#REF!</v>
      </c>
      <c r="BH55" t="e">
        <f>AND(#REF!,"AAAAAH7+/Ts=")</f>
        <v>#REF!</v>
      </c>
      <c r="BI55" t="e">
        <f>AND(#REF!,"AAAAAH7+/Tw=")</f>
        <v>#REF!</v>
      </c>
      <c r="BJ55" t="e">
        <f>AND(#REF!,"AAAAAH7+/T0=")</f>
        <v>#REF!</v>
      </c>
      <c r="BK55" t="e">
        <f>AND(#REF!,"AAAAAH7+/T4=")</f>
        <v>#REF!</v>
      </c>
      <c r="BL55" t="e">
        <f>AND(#REF!,"AAAAAH7+/T8=")</f>
        <v>#REF!</v>
      </c>
      <c r="BM55" t="e">
        <f>AND(#REF!,"AAAAAH7+/UA=")</f>
        <v>#REF!</v>
      </c>
      <c r="BN55" t="e">
        <f>AND(#REF!,"AAAAAH7+/UE=")</f>
        <v>#REF!</v>
      </c>
      <c r="BO55" t="e">
        <f>AND(#REF!,"AAAAAH7+/UI=")</f>
        <v>#REF!</v>
      </c>
      <c r="BP55" t="e">
        <f>AND(#REF!,"AAAAAH7+/UM=")</f>
        <v>#REF!</v>
      </c>
      <c r="BQ55" t="e">
        <f>AND(#REF!,"AAAAAH7+/UQ=")</f>
        <v>#REF!</v>
      </c>
      <c r="BR55" t="e">
        <f>AND(#REF!,"AAAAAH7+/UU=")</f>
        <v>#REF!</v>
      </c>
      <c r="BS55" t="e">
        <f>IF(#REF!,"AAAAAH7+/UY=",0)</f>
        <v>#REF!</v>
      </c>
      <c r="BT55" t="e">
        <f>AND(#REF!,"AAAAAH7+/Uc=")</f>
        <v>#REF!</v>
      </c>
      <c r="BU55" t="e">
        <f>AND(#REF!,"AAAAAH7+/Ug=")</f>
        <v>#REF!</v>
      </c>
      <c r="BV55" t="e">
        <f>AND(#REF!,"AAAAAH7+/Uk=")</f>
        <v>#REF!</v>
      </c>
      <c r="BW55" t="e">
        <f>AND(#REF!,"AAAAAH7+/Uo=")</f>
        <v>#REF!</v>
      </c>
      <c r="BX55" t="e">
        <f>AND(#REF!,"AAAAAH7+/Us=")</f>
        <v>#REF!</v>
      </c>
      <c r="BY55" t="e">
        <f>AND(#REF!,"AAAAAH7+/Uw=")</f>
        <v>#REF!</v>
      </c>
      <c r="BZ55" t="e">
        <f>AND(#REF!,"AAAAAH7+/U0=")</f>
        <v>#REF!</v>
      </c>
      <c r="CA55" t="e">
        <f>AND(#REF!,"AAAAAH7+/U4=")</f>
        <v>#REF!</v>
      </c>
      <c r="CB55" t="e">
        <f>AND(#REF!,"AAAAAH7+/U8=")</f>
        <v>#REF!</v>
      </c>
      <c r="CC55" t="e">
        <f>AND(#REF!,"AAAAAH7+/VA=")</f>
        <v>#REF!</v>
      </c>
      <c r="CD55" t="e">
        <f>AND(#REF!,"AAAAAH7+/VE=")</f>
        <v>#REF!</v>
      </c>
      <c r="CE55" t="e">
        <f>AND(#REF!,"AAAAAH7+/VI=")</f>
        <v>#REF!</v>
      </c>
      <c r="CF55" t="e">
        <f>AND(#REF!,"AAAAAH7+/VM=")</f>
        <v>#REF!</v>
      </c>
      <c r="CG55" t="e">
        <f>AND(#REF!,"AAAAAH7+/VQ=")</f>
        <v>#REF!</v>
      </c>
      <c r="CH55" t="e">
        <f>AND(#REF!,"AAAAAH7+/VU=")</f>
        <v>#REF!</v>
      </c>
      <c r="CI55" t="e">
        <f>AND(#REF!,"AAAAAH7+/VY=")</f>
        <v>#REF!</v>
      </c>
      <c r="CJ55" t="e">
        <f>AND(#REF!,"AAAAAH7+/Vc=")</f>
        <v>#REF!</v>
      </c>
      <c r="CK55" t="e">
        <f>AND(#REF!,"AAAAAH7+/Vg=")</f>
        <v>#REF!</v>
      </c>
      <c r="CL55" t="e">
        <f>AND(#REF!,"AAAAAH7+/Vk=")</f>
        <v>#REF!</v>
      </c>
      <c r="CM55" t="e">
        <f>AND(#REF!,"AAAAAH7+/Vo=")</f>
        <v>#REF!</v>
      </c>
      <c r="CN55" t="e">
        <f>AND(#REF!,"AAAAAH7+/Vs=")</f>
        <v>#REF!</v>
      </c>
      <c r="CO55" t="e">
        <f>AND(#REF!,"AAAAAH7+/Vw=")</f>
        <v>#REF!</v>
      </c>
      <c r="CP55" t="e">
        <f>AND(#REF!,"AAAAAH7+/V0=")</f>
        <v>#REF!</v>
      </c>
      <c r="CQ55" t="e">
        <f>AND(#REF!,"AAAAAH7+/V4=")</f>
        <v>#REF!</v>
      </c>
      <c r="CR55" t="e">
        <f>AND(#REF!,"AAAAAH7+/V8=")</f>
        <v>#REF!</v>
      </c>
      <c r="CS55" t="e">
        <f>AND(#REF!,"AAAAAH7+/WA=")</f>
        <v>#REF!</v>
      </c>
      <c r="CT55" t="e">
        <f>AND(#REF!,"AAAAAH7+/WE=")</f>
        <v>#REF!</v>
      </c>
      <c r="CU55" t="e">
        <f>AND(#REF!,"AAAAAH7+/WI=")</f>
        <v>#REF!</v>
      </c>
      <c r="CV55" t="e">
        <f>AND(#REF!,"AAAAAH7+/WM=")</f>
        <v>#REF!</v>
      </c>
      <c r="CW55" t="e">
        <f>AND(#REF!,"AAAAAH7+/WQ=")</f>
        <v>#REF!</v>
      </c>
      <c r="CX55" t="e">
        <f>AND(#REF!,"AAAAAH7+/WU=")</f>
        <v>#REF!</v>
      </c>
      <c r="CY55" t="e">
        <f>AND(#REF!,"AAAAAH7+/WY=")</f>
        <v>#REF!</v>
      </c>
      <c r="CZ55" t="e">
        <f>AND(#REF!,"AAAAAH7+/Wc=")</f>
        <v>#REF!</v>
      </c>
      <c r="DA55" t="e">
        <f>AND(#REF!,"AAAAAH7+/Wg=")</f>
        <v>#REF!</v>
      </c>
      <c r="DB55" t="e">
        <f>AND(#REF!,"AAAAAH7+/Wk=")</f>
        <v>#REF!</v>
      </c>
      <c r="DC55" t="e">
        <f>AND(#REF!,"AAAAAH7+/Wo=")</f>
        <v>#REF!</v>
      </c>
      <c r="DD55" t="e">
        <f>AND(#REF!,"AAAAAH7+/Ws=")</f>
        <v>#REF!</v>
      </c>
      <c r="DE55" t="e">
        <f>AND(#REF!,"AAAAAH7+/Ww=")</f>
        <v>#REF!</v>
      </c>
      <c r="DF55" t="e">
        <f>AND(#REF!,"AAAAAH7+/W0=")</f>
        <v>#REF!</v>
      </c>
      <c r="DG55" t="e">
        <f>AND(#REF!,"AAAAAH7+/W4=")</f>
        <v>#REF!</v>
      </c>
      <c r="DH55" t="e">
        <f>AND(#REF!,"AAAAAH7+/W8=")</f>
        <v>#REF!</v>
      </c>
      <c r="DI55" t="e">
        <f>AND(#REF!,"AAAAAH7+/XA=")</f>
        <v>#REF!</v>
      </c>
      <c r="DJ55" t="e">
        <f>AND(#REF!,"AAAAAH7+/XE=")</f>
        <v>#REF!</v>
      </c>
      <c r="DK55" t="e">
        <f>AND(#REF!,"AAAAAH7+/XI=")</f>
        <v>#REF!</v>
      </c>
      <c r="DL55" t="e">
        <f>AND(#REF!,"AAAAAH7+/XM=")</f>
        <v>#REF!</v>
      </c>
      <c r="DM55" t="e">
        <f>AND(#REF!,"AAAAAH7+/XQ=")</f>
        <v>#REF!</v>
      </c>
      <c r="DN55" t="e">
        <f>AND(#REF!,"AAAAAH7+/XU=")</f>
        <v>#REF!</v>
      </c>
      <c r="DO55" t="e">
        <f>AND(#REF!,"AAAAAH7+/XY=")</f>
        <v>#REF!</v>
      </c>
      <c r="DP55" t="e">
        <f>AND(#REF!,"AAAAAH7+/Xc=")</f>
        <v>#REF!</v>
      </c>
      <c r="DQ55" t="e">
        <f>AND(#REF!,"AAAAAH7+/Xg=")</f>
        <v>#REF!</v>
      </c>
      <c r="DR55" t="e">
        <f>AND(#REF!,"AAAAAH7+/Xk=")</f>
        <v>#REF!</v>
      </c>
      <c r="DS55" t="e">
        <f>AND(#REF!,"AAAAAH7+/Xo=")</f>
        <v>#REF!</v>
      </c>
      <c r="DT55" t="e">
        <f>AND(#REF!,"AAAAAH7+/Xs=")</f>
        <v>#REF!</v>
      </c>
      <c r="DU55" t="e">
        <f>AND(#REF!,"AAAAAH7+/Xw=")</f>
        <v>#REF!</v>
      </c>
      <c r="DV55" t="e">
        <f>IF(#REF!,"AAAAAH7+/X0=",0)</f>
        <v>#REF!</v>
      </c>
      <c r="DW55" t="e">
        <f>AND(#REF!,"AAAAAH7+/X4=")</f>
        <v>#REF!</v>
      </c>
      <c r="DX55" t="e">
        <f>AND(#REF!,"AAAAAH7+/X8=")</f>
        <v>#REF!</v>
      </c>
      <c r="DY55" t="e">
        <f>AND(#REF!,"AAAAAH7+/YA=")</f>
        <v>#REF!</v>
      </c>
      <c r="DZ55" t="e">
        <f>AND(#REF!,"AAAAAH7+/YE=")</f>
        <v>#REF!</v>
      </c>
      <c r="EA55" t="e">
        <f>AND(#REF!,"AAAAAH7+/YI=")</f>
        <v>#REF!</v>
      </c>
      <c r="EB55" t="e">
        <f>AND(#REF!,"AAAAAH7+/YM=")</f>
        <v>#REF!</v>
      </c>
      <c r="EC55" t="e">
        <f>AND(#REF!,"AAAAAH7+/YQ=")</f>
        <v>#REF!</v>
      </c>
      <c r="ED55" t="e">
        <f>AND(#REF!,"AAAAAH7+/YU=")</f>
        <v>#REF!</v>
      </c>
      <c r="EE55" t="e">
        <f>AND(#REF!,"AAAAAH7+/YY=")</f>
        <v>#REF!</v>
      </c>
      <c r="EF55" t="e">
        <f>AND(#REF!,"AAAAAH7+/Yc=")</f>
        <v>#REF!</v>
      </c>
      <c r="EG55" t="e">
        <f>AND(#REF!,"AAAAAH7+/Yg=")</f>
        <v>#REF!</v>
      </c>
      <c r="EH55" t="e">
        <f>AND(#REF!,"AAAAAH7+/Yk=")</f>
        <v>#REF!</v>
      </c>
      <c r="EI55" t="e">
        <f>AND(#REF!,"AAAAAH7+/Yo=")</f>
        <v>#REF!</v>
      </c>
      <c r="EJ55" t="e">
        <f>AND(#REF!,"AAAAAH7+/Ys=")</f>
        <v>#REF!</v>
      </c>
      <c r="EK55" t="e">
        <f>AND(#REF!,"AAAAAH7+/Yw=")</f>
        <v>#REF!</v>
      </c>
      <c r="EL55" t="e">
        <f>AND(#REF!,"AAAAAH7+/Y0=")</f>
        <v>#REF!</v>
      </c>
      <c r="EM55" t="e">
        <f>AND(#REF!,"AAAAAH7+/Y4=")</f>
        <v>#REF!</v>
      </c>
      <c r="EN55" t="e">
        <f>AND(#REF!,"AAAAAH7+/Y8=")</f>
        <v>#REF!</v>
      </c>
      <c r="EO55" t="e">
        <f>AND(#REF!,"AAAAAH7+/ZA=")</f>
        <v>#REF!</v>
      </c>
      <c r="EP55" t="e">
        <f>AND(#REF!,"AAAAAH7+/ZE=")</f>
        <v>#REF!</v>
      </c>
      <c r="EQ55" t="e">
        <f>AND(#REF!,"AAAAAH7+/ZI=")</f>
        <v>#REF!</v>
      </c>
      <c r="ER55" t="e">
        <f>AND(#REF!,"AAAAAH7+/ZM=")</f>
        <v>#REF!</v>
      </c>
      <c r="ES55" t="e">
        <f>AND(#REF!,"AAAAAH7+/ZQ=")</f>
        <v>#REF!</v>
      </c>
      <c r="ET55" t="e">
        <f>AND(#REF!,"AAAAAH7+/ZU=")</f>
        <v>#REF!</v>
      </c>
      <c r="EU55" t="e">
        <f>AND(#REF!,"AAAAAH7+/ZY=")</f>
        <v>#REF!</v>
      </c>
      <c r="EV55" t="e">
        <f>AND(#REF!,"AAAAAH7+/Zc=")</f>
        <v>#REF!</v>
      </c>
      <c r="EW55" t="e">
        <f>AND(#REF!,"AAAAAH7+/Zg=")</f>
        <v>#REF!</v>
      </c>
      <c r="EX55" t="e">
        <f>AND(#REF!,"AAAAAH7+/Zk=")</f>
        <v>#REF!</v>
      </c>
      <c r="EY55" t="e">
        <f>AND(#REF!,"AAAAAH7+/Zo=")</f>
        <v>#REF!</v>
      </c>
      <c r="EZ55" t="e">
        <f>AND(#REF!,"AAAAAH7+/Zs=")</f>
        <v>#REF!</v>
      </c>
      <c r="FA55" t="e">
        <f>AND(#REF!,"AAAAAH7+/Zw=")</f>
        <v>#REF!</v>
      </c>
      <c r="FB55" t="e">
        <f>AND(#REF!,"AAAAAH7+/Z0=")</f>
        <v>#REF!</v>
      </c>
      <c r="FC55" t="e">
        <f>AND(#REF!,"AAAAAH7+/Z4=")</f>
        <v>#REF!</v>
      </c>
      <c r="FD55" t="e">
        <f>AND(#REF!,"AAAAAH7+/Z8=")</f>
        <v>#REF!</v>
      </c>
      <c r="FE55" t="e">
        <f>AND(#REF!,"AAAAAH7+/aA=")</f>
        <v>#REF!</v>
      </c>
      <c r="FF55" t="e">
        <f>AND(#REF!,"AAAAAH7+/aE=")</f>
        <v>#REF!</v>
      </c>
      <c r="FG55" t="e">
        <f>AND(#REF!,"AAAAAH7+/aI=")</f>
        <v>#REF!</v>
      </c>
      <c r="FH55" t="e">
        <f>AND(#REF!,"AAAAAH7+/aM=")</f>
        <v>#REF!</v>
      </c>
      <c r="FI55" t="e">
        <f>AND(#REF!,"AAAAAH7+/aQ=")</f>
        <v>#REF!</v>
      </c>
      <c r="FJ55" t="e">
        <f>AND(#REF!,"AAAAAH7+/aU=")</f>
        <v>#REF!</v>
      </c>
      <c r="FK55" t="e">
        <f>AND(#REF!,"AAAAAH7+/aY=")</f>
        <v>#REF!</v>
      </c>
      <c r="FL55" t="e">
        <f>AND(#REF!,"AAAAAH7+/ac=")</f>
        <v>#REF!</v>
      </c>
      <c r="FM55" t="e">
        <f>AND(#REF!,"AAAAAH7+/ag=")</f>
        <v>#REF!</v>
      </c>
      <c r="FN55" t="e">
        <f>AND(#REF!,"AAAAAH7+/ak=")</f>
        <v>#REF!</v>
      </c>
      <c r="FO55" t="e">
        <f>AND(#REF!,"AAAAAH7+/ao=")</f>
        <v>#REF!</v>
      </c>
      <c r="FP55" t="e">
        <f>AND(#REF!,"AAAAAH7+/as=")</f>
        <v>#REF!</v>
      </c>
      <c r="FQ55" t="e">
        <f>AND(#REF!,"AAAAAH7+/aw=")</f>
        <v>#REF!</v>
      </c>
      <c r="FR55" t="e">
        <f>AND(#REF!,"AAAAAH7+/a0=")</f>
        <v>#REF!</v>
      </c>
      <c r="FS55" t="e">
        <f>AND(#REF!,"AAAAAH7+/a4=")</f>
        <v>#REF!</v>
      </c>
      <c r="FT55" t="e">
        <f>AND(#REF!,"AAAAAH7+/a8=")</f>
        <v>#REF!</v>
      </c>
      <c r="FU55" t="e">
        <f>AND(#REF!,"AAAAAH7+/bA=")</f>
        <v>#REF!</v>
      </c>
      <c r="FV55" t="e">
        <f>AND(#REF!,"AAAAAH7+/bE=")</f>
        <v>#REF!</v>
      </c>
      <c r="FW55" t="e">
        <f>AND(#REF!,"AAAAAH7+/bI=")</f>
        <v>#REF!</v>
      </c>
      <c r="FX55" t="e">
        <f>AND(#REF!,"AAAAAH7+/bM=")</f>
        <v>#REF!</v>
      </c>
      <c r="FY55" t="e">
        <f>IF(#REF!,"AAAAAH7+/bQ=",0)</f>
        <v>#REF!</v>
      </c>
      <c r="FZ55" t="e">
        <f>AND(#REF!,"AAAAAH7+/bU=")</f>
        <v>#REF!</v>
      </c>
      <c r="GA55" t="e">
        <f>AND(#REF!,"AAAAAH7+/bY=")</f>
        <v>#REF!</v>
      </c>
      <c r="GB55" t="e">
        <f>AND(#REF!,"AAAAAH7+/bc=")</f>
        <v>#REF!</v>
      </c>
      <c r="GC55" t="e">
        <f>AND(#REF!,"AAAAAH7+/bg=")</f>
        <v>#REF!</v>
      </c>
      <c r="GD55" t="e">
        <f>AND(#REF!,"AAAAAH7+/bk=")</f>
        <v>#REF!</v>
      </c>
      <c r="GE55" t="e">
        <f>AND(#REF!,"AAAAAH7+/bo=")</f>
        <v>#REF!</v>
      </c>
      <c r="GF55" t="e">
        <f>AND(#REF!,"AAAAAH7+/bs=")</f>
        <v>#REF!</v>
      </c>
      <c r="GG55" t="e">
        <f>AND(#REF!,"AAAAAH7+/bw=")</f>
        <v>#REF!</v>
      </c>
      <c r="GH55" t="e">
        <f>AND(#REF!,"AAAAAH7+/b0=")</f>
        <v>#REF!</v>
      </c>
      <c r="GI55" t="e">
        <f>AND(#REF!,"AAAAAH7+/b4=")</f>
        <v>#REF!</v>
      </c>
      <c r="GJ55" t="e">
        <f>AND(#REF!,"AAAAAH7+/b8=")</f>
        <v>#REF!</v>
      </c>
      <c r="GK55" t="e">
        <f>AND(#REF!,"AAAAAH7+/cA=")</f>
        <v>#REF!</v>
      </c>
      <c r="GL55" t="e">
        <f>AND(#REF!,"AAAAAH7+/cE=")</f>
        <v>#REF!</v>
      </c>
      <c r="GM55" t="e">
        <f>AND(#REF!,"AAAAAH7+/cI=")</f>
        <v>#REF!</v>
      </c>
      <c r="GN55" t="e">
        <f>AND(#REF!,"AAAAAH7+/cM=")</f>
        <v>#REF!</v>
      </c>
      <c r="GO55" t="e">
        <f>AND(#REF!,"AAAAAH7+/cQ=")</f>
        <v>#REF!</v>
      </c>
      <c r="GP55" t="e">
        <f>AND(#REF!,"AAAAAH7+/cU=")</f>
        <v>#REF!</v>
      </c>
      <c r="GQ55" t="e">
        <f>AND(#REF!,"AAAAAH7+/cY=")</f>
        <v>#REF!</v>
      </c>
      <c r="GR55" t="e">
        <f>AND(#REF!,"AAAAAH7+/cc=")</f>
        <v>#REF!</v>
      </c>
      <c r="GS55" t="e">
        <f>AND(#REF!,"AAAAAH7+/cg=")</f>
        <v>#REF!</v>
      </c>
      <c r="GT55" t="e">
        <f>AND(#REF!,"AAAAAH7+/ck=")</f>
        <v>#REF!</v>
      </c>
      <c r="GU55" t="e">
        <f>AND(#REF!,"AAAAAH7+/co=")</f>
        <v>#REF!</v>
      </c>
      <c r="GV55" t="e">
        <f>AND(#REF!,"AAAAAH7+/cs=")</f>
        <v>#REF!</v>
      </c>
      <c r="GW55" t="e">
        <f>AND(#REF!,"AAAAAH7+/cw=")</f>
        <v>#REF!</v>
      </c>
      <c r="GX55" t="e">
        <f>AND(#REF!,"AAAAAH7+/c0=")</f>
        <v>#REF!</v>
      </c>
      <c r="GY55" t="e">
        <f>AND(#REF!,"AAAAAH7+/c4=")</f>
        <v>#REF!</v>
      </c>
      <c r="GZ55" t="e">
        <f>AND(#REF!,"AAAAAH7+/c8=")</f>
        <v>#REF!</v>
      </c>
      <c r="HA55" t="e">
        <f>AND(#REF!,"AAAAAH7+/dA=")</f>
        <v>#REF!</v>
      </c>
      <c r="HB55" t="e">
        <f>AND(#REF!,"AAAAAH7+/dE=")</f>
        <v>#REF!</v>
      </c>
      <c r="HC55" t="e">
        <f>AND(#REF!,"AAAAAH7+/dI=")</f>
        <v>#REF!</v>
      </c>
      <c r="HD55" t="e">
        <f>AND(#REF!,"AAAAAH7+/dM=")</f>
        <v>#REF!</v>
      </c>
      <c r="HE55" t="e">
        <f>AND(#REF!,"AAAAAH7+/dQ=")</f>
        <v>#REF!</v>
      </c>
      <c r="HF55" t="e">
        <f>AND(#REF!,"AAAAAH7+/dU=")</f>
        <v>#REF!</v>
      </c>
      <c r="HG55" t="e">
        <f>AND(#REF!,"AAAAAH7+/dY=")</f>
        <v>#REF!</v>
      </c>
      <c r="HH55" t="e">
        <f>AND(#REF!,"AAAAAH7+/dc=")</f>
        <v>#REF!</v>
      </c>
      <c r="HI55" t="e">
        <f>AND(#REF!,"AAAAAH7+/dg=")</f>
        <v>#REF!</v>
      </c>
      <c r="HJ55" t="e">
        <f>AND(#REF!,"AAAAAH7+/dk=")</f>
        <v>#REF!</v>
      </c>
      <c r="HK55" t="e">
        <f>AND(#REF!,"AAAAAH7+/do=")</f>
        <v>#REF!</v>
      </c>
      <c r="HL55" t="e">
        <f>AND(#REF!,"AAAAAH7+/ds=")</f>
        <v>#REF!</v>
      </c>
      <c r="HM55" t="e">
        <f>AND(#REF!,"AAAAAH7+/dw=")</f>
        <v>#REF!</v>
      </c>
      <c r="HN55" t="e">
        <f>AND(#REF!,"AAAAAH7+/d0=")</f>
        <v>#REF!</v>
      </c>
      <c r="HO55" t="e">
        <f>AND(#REF!,"AAAAAH7+/d4=")</f>
        <v>#REF!</v>
      </c>
      <c r="HP55" t="e">
        <f>AND(#REF!,"AAAAAH7+/d8=")</f>
        <v>#REF!</v>
      </c>
      <c r="HQ55" t="e">
        <f>AND(#REF!,"AAAAAH7+/eA=")</f>
        <v>#REF!</v>
      </c>
      <c r="HR55" t="e">
        <f>AND(#REF!,"AAAAAH7+/eE=")</f>
        <v>#REF!</v>
      </c>
      <c r="HS55" t="e">
        <f>AND(#REF!,"AAAAAH7+/eI=")</f>
        <v>#REF!</v>
      </c>
      <c r="HT55" t="e">
        <f>AND(#REF!,"AAAAAH7+/eM=")</f>
        <v>#REF!</v>
      </c>
      <c r="HU55" t="e">
        <f>AND(#REF!,"AAAAAH7+/eQ=")</f>
        <v>#REF!</v>
      </c>
      <c r="HV55" t="e">
        <f>AND(#REF!,"AAAAAH7+/eU=")</f>
        <v>#REF!</v>
      </c>
      <c r="HW55" t="e">
        <f>AND(#REF!,"AAAAAH7+/eY=")</f>
        <v>#REF!</v>
      </c>
      <c r="HX55" t="e">
        <f>AND(#REF!,"AAAAAH7+/ec=")</f>
        <v>#REF!</v>
      </c>
      <c r="HY55" t="e">
        <f>AND(#REF!,"AAAAAH7+/eg=")</f>
        <v>#REF!</v>
      </c>
      <c r="HZ55" t="e">
        <f>AND(#REF!,"AAAAAH7+/ek=")</f>
        <v>#REF!</v>
      </c>
      <c r="IA55" t="e">
        <f>AND(#REF!,"AAAAAH7+/eo=")</f>
        <v>#REF!</v>
      </c>
      <c r="IB55" t="e">
        <f>IF(#REF!,"AAAAAH7+/es=",0)</f>
        <v>#REF!</v>
      </c>
      <c r="IC55" t="e">
        <f>AND(#REF!,"AAAAAH7+/ew=")</f>
        <v>#REF!</v>
      </c>
      <c r="ID55" t="e">
        <f>AND(#REF!,"AAAAAH7+/e0=")</f>
        <v>#REF!</v>
      </c>
      <c r="IE55" t="e">
        <f>AND(#REF!,"AAAAAH7+/e4=")</f>
        <v>#REF!</v>
      </c>
      <c r="IF55" t="e">
        <f>AND(#REF!,"AAAAAH7+/e8=")</f>
        <v>#REF!</v>
      </c>
      <c r="IG55" t="e">
        <f>AND(#REF!,"AAAAAH7+/fA=")</f>
        <v>#REF!</v>
      </c>
      <c r="IH55" t="e">
        <f>AND(#REF!,"AAAAAH7+/fE=")</f>
        <v>#REF!</v>
      </c>
      <c r="II55" t="e">
        <f>AND(#REF!,"AAAAAH7+/fI=")</f>
        <v>#REF!</v>
      </c>
      <c r="IJ55" t="e">
        <f>AND(#REF!,"AAAAAH7+/fM=")</f>
        <v>#REF!</v>
      </c>
      <c r="IK55" t="e">
        <f>AND(#REF!,"AAAAAH7+/fQ=")</f>
        <v>#REF!</v>
      </c>
      <c r="IL55" t="e">
        <f>AND(#REF!,"AAAAAH7+/fU=")</f>
        <v>#REF!</v>
      </c>
      <c r="IM55" t="e">
        <f>AND(#REF!,"AAAAAH7+/fY=")</f>
        <v>#REF!</v>
      </c>
      <c r="IN55" t="e">
        <f>AND(#REF!,"AAAAAH7+/fc=")</f>
        <v>#REF!</v>
      </c>
      <c r="IO55" t="e">
        <f>AND(#REF!,"AAAAAH7+/fg=")</f>
        <v>#REF!</v>
      </c>
      <c r="IP55" t="e">
        <f>AND(#REF!,"AAAAAH7+/fk=")</f>
        <v>#REF!</v>
      </c>
      <c r="IQ55" t="e">
        <f>AND(#REF!,"AAAAAH7+/fo=")</f>
        <v>#REF!</v>
      </c>
      <c r="IR55" t="e">
        <f>AND(#REF!,"AAAAAH7+/fs=")</f>
        <v>#REF!</v>
      </c>
      <c r="IS55" t="e">
        <f>AND(#REF!,"AAAAAH7+/fw=")</f>
        <v>#REF!</v>
      </c>
      <c r="IT55" t="e">
        <f>AND(#REF!,"AAAAAH7+/f0=")</f>
        <v>#REF!</v>
      </c>
      <c r="IU55" t="e">
        <f>AND(#REF!,"AAAAAH7+/f4=")</f>
        <v>#REF!</v>
      </c>
      <c r="IV55" t="e">
        <f>AND(#REF!,"AAAAAH7+/f8=")</f>
        <v>#REF!</v>
      </c>
    </row>
    <row r="56" spans="1:256" x14ac:dyDescent="0.25">
      <c r="A56" t="e">
        <f>AND(#REF!,"AAAAAH//0wA=")</f>
        <v>#REF!</v>
      </c>
      <c r="B56" t="e">
        <f>AND(#REF!,"AAAAAH//0wE=")</f>
        <v>#REF!</v>
      </c>
      <c r="C56" t="e">
        <f>AND(#REF!,"AAAAAH//0wI=")</f>
        <v>#REF!</v>
      </c>
      <c r="D56" t="e">
        <f>AND(#REF!,"AAAAAH//0wM=")</f>
        <v>#REF!</v>
      </c>
      <c r="E56" t="e">
        <f>AND(#REF!,"AAAAAH//0wQ=")</f>
        <v>#REF!</v>
      </c>
      <c r="F56" t="e">
        <f>AND(#REF!,"AAAAAH//0wU=")</f>
        <v>#REF!</v>
      </c>
      <c r="G56" t="e">
        <f>AND(#REF!,"AAAAAH//0wY=")</f>
        <v>#REF!</v>
      </c>
      <c r="H56" t="e">
        <f>AND(#REF!,"AAAAAH//0wc=")</f>
        <v>#REF!</v>
      </c>
      <c r="I56" t="e">
        <f>AND(#REF!,"AAAAAH//0wg=")</f>
        <v>#REF!</v>
      </c>
      <c r="J56" t="e">
        <f>AND(#REF!,"AAAAAH//0wk=")</f>
        <v>#REF!</v>
      </c>
      <c r="K56" t="e">
        <f>AND(#REF!,"AAAAAH//0wo=")</f>
        <v>#REF!</v>
      </c>
      <c r="L56" t="e">
        <f>AND(#REF!,"AAAAAH//0ws=")</f>
        <v>#REF!</v>
      </c>
      <c r="M56" t="e">
        <f>AND(#REF!,"AAAAAH//0ww=")</f>
        <v>#REF!</v>
      </c>
      <c r="N56" t="e">
        <f>AND(#REF!,"AAAAAH//0w0=")</f>
        <v>#REF!</v>
      </c>
      <c r="O56" t="e">
        <f>AND(#REF!,"AAAAAH//0w4=")</f>
        <v>#REF!</v>
      </c>
      <c r="P56" t="e">
        <f>AND(#REF!,"AAAAAH//0w8=")</f>
        <v>#REF!</v>
      </c>
      <c r="Q56" t="e">
        <f>AND(#REF!,"AAAAAH//0xA=")</f>
        <v>#REF!</v>
      </c>
      <c r="R56" t="e">
        <f>AND(#REF!,"AAAAAH//0xE=")</f>
        <v>#REF!</v>
      </c>
      <c r="S56" t="e">
        <f>AND(#REF!,"AAAAAH//0xI=")</f>
        <v>#REF!</v>
      </c>
      <c r="T56" t="e">
        <f>AND(#REF!,"AAAAAH//0xM=")</f>
        <v>#REF!</v>
      </c>
      <c r="U56" t="e">
        <f>AND(#REF!,"AAAAAH//0xQ=")</f>
        <v>#REF!</v>
      </c>
      <c r="V56" t="e">
        <f>AND(#REF!,"AAAAAH//0xU=")</f>
        <v>#REF!</v>
      </c>
      <c r="W56" t="e">
        <f>AND(#REF!,"AAAAAH//0xY=")</f>
        <v>#REF!</v>
      </c>
      <c r="X56" t="e">
        <f>AND(#REF!,"AAAAAH//0xc=")</f>
        <v>#REF!</v>
      </c>
      <c r="Y56" t="e">
        <f>AND(#REF!,"AAAAAH//0xg=")</f>
        <v>#REF!</v>
      </c>
      <c r="Z56" t="e">
        <f>AND(#REF!,"AAAAAH//0xk=")</f>
        <v>#REF!</v>
      </c>
      <c r="AA56" t="e">
        <f>AND(#REF!,"AAAAAH//0xo=")</f>
        <v>#REF!</v>
      </c>
      <c r="AB56" t="e">
        <f>AND(#REF!,"AAAAAH//0xs=")</f>
        <v>#REF!</v>
      </c>
      <c r="AC56" t="e">
        <f>AND(#REF!,"AAAAAH//0xw=")</f>
        <v>#REF!</v>
      </c>
      <c r="AD56" t="e">
        <f>AND(#REF!,"AAAAAH//0x0=")</f>
        <v>#REF!</v>
      </c>
      <c r="AE56" t="e">
        <f>AND(#REF!,"AAAAAH//0x4=")</f>
        <v>#REF!</v>
      </c>
      <c r="AF56" t="e">
        <f>AND(#REF!,"AAAAAH//0x8=")</f>
        <v>#REF!</v>
      </c>
      <c r="AG56" t="e">
        <f>AND(#REF!,"AAAAAH//0yA=")</f>
        <v>#REF!</v>
      </c>
      <c r="AH56" t="e">
        <f>AND(#REF!,"AAAAAH//0yE=")</f>
        <v>#REF!</v>
      </c>
      <c r="AI56" t="e">
        <f>IF(#REF!,"AAAAAH//0yI=",0)</f>
        <v>#REF!</v>
      </c>
      <c r="AJ56" t="e">
        <f>AND(#REF!,"AAAAAH//0yM=")</f>
        <v>#REF!</v>
      </c>
      <c r="AK56" t="e">
        <f>AND(#REF!,"AAAAAH//0yQ=")</f>
        <v>#REF!</v>
      </c>
      <c r="AL56" t="e">
        <f>AND(#REF!,"AAAAAH//0yU=")</f>
        <v>#REF!</v>
      </c>
      <c r="AM56" t="e">
        <f>AND(#REF!,"AAAAAH//0yY=")</f>
        <v>#REF!</v>
      </c>
      <c r="AN56" t="e">
        <f>AND(#REF!,"AAAAAH//0yc=")</f>
        <v>#REF!</v>
      </c>
      <c r="AO56" t="e">
        <f>AND(#REF!,"AAAAAH//0yg=")</f>
        <v>#REF!</v>
      </c>
      <c r="AP56" t="e">
        <f>AND(#REF!,"AAAAAH//0yk=")</f>
        <v>#REF!</v>
      </c>
      <c r="AQ56" t="e">
        <f>AND(#REF!,"AAAAAH//0yo=")</f>
        <v>#REF!</v>
      </c>
      <c r="AR56" t="e">
        <f>AND(#REF!,"AAAAAH//0ys=")</f>
        <v>#REF!</v>
      </c>
      <c r="AS56" t="e">
        <f>AND(#REF!,"AAAAAH//0yw=")</f>
        <v>#REF!</v>
      </c>
      <c r="AT56" t="e">
        <f>AND(#REF!,"AAAAAH//0y0=")</f>
        <v>#REF!</v>
      </c>
      <c r="AU56" t="e">
        <f>AND(#REF!,"AAAAAH//0y4=")</f>
        <v>#REF!</v>
      </c>
      <c r="AV56" t="e">
        <f>AND(#REF!,"AAAAAH//0y8=")</f>
        <v>#REF!</v>
      </c>
      <c r="AW56" t="e">
        <f>AND(#REF!,"AAAAAH//0zA=")</f>
        <v>#REF!</v>
      </c>
      <c r="AX56" t="e">
        <f>AND(#REF!,"AAAAAH//0zE=")</f>
        <v>#REF!</v>
      </c>
      <c r="AY56" t="e">
        <f>AND(#REF!,"AAAAAH//0zI=")</f>
        <v>#REF!</v>
      </c>
      <c r="AZ56" t="e">
        <f>AND(#REF!,"AAAAAH//0zM=")</f>
        <v>#REF!</v>
      </c>
      <c r="BA56" t="e">
        <f>AND(#REF!,"AAAAAH//0zQ=")</f>
        <v>#REF!</v>
      </c>
      <c r="BB56" t="e">
        <f>AND(#REF!,"AAAAAH//0zU=")</f>
        <v>#REF!</v>
      </c>
      <c r="BC56" t="e">
        <f>AND(#REF!,"AAAAAH//0zY=")</f>
        <v>#REF!</v>
      </c>
      <c r="BD56" t="e">
        <f>AND(#REF!,"AAAAAH//0zc=")</f>
        <v>#REF!</v>
      </c>
      <c r="BE56" t="e">
        <f>AND(#REF!,"AAAAAH//0zg=")</f>
        <v>#REF!</v>
      </c>
      <c r="BF56" t="e">
        <f>AND(#REF!,"AAAAAH//0zk=")</f>
        <v>#REF!</v>
      </c>
      <c r="BG56" t="e">
        <f>AND(#REF!,"AAAAAH//0zo=")</f>
        <v>#REF!</v>
      </c>
      <c r="BH56" t="e">
        <f>AND(#REF!,"AAAAAH//0zs=")</f>
        <v>#REF!</v>
      </c>
      <c r="BI56" t="e">
        <f>AND(#REF!,"AAAAAH//0zw=")</f>
        <v>#REF!</v>
      </c>
      <c r="BJ56" t="e">
        <f>AND(#REF!,"AAAAAH//0z0=")</f>
        <v>#REF!</v>
      </c>
      <c r="BK56" t="e">
        <f>AND(#REF!,"AAAAAH//0z4=")</f>
        <v>#REF!</v>
      </c>
      <c r="BL56" t="e">
        <f>AND(#REF!,"AAAAAH//0z8=")</f>
        <v>#REF!</v>
      </c>
      <c r="BM56" t="e">
        <f>AND(#REF!,"AAAAAH//00A=")</f>
        <v>#REF!</v>
      </c>
      <c r="BN56" t="e">
        <f>AND(#REF!,"AAAAAH//00E=")</f>
        <v>#REF!</v>
      </c>
      <c r="BO56" t="e">
        <f>AND(#REF!,"AAAAAH//00I=")</f>
        <v>#REF!</v>
      </c>
      <c r="BP56" t="e">
        <f>AND(#REF!,"AAAAAH//00M=")</f>
        <v>#REF!</v>
      </c>
      <c r="BQ56" t="e">
        <f>AND(#REF!,"AAAAAH//00Q=")</f>
        <v>#REF!</v>
      </c>
      <c r="BR56" t="e">
        <f>AND(#REF!,"AAAAAH//00U=")</f>
        <v>#REF!</v>
      </c>
      <c r="BS56" t="e">
        <f>AND(#REF!,"AAAAAH//00Y=")</f>
        <v>#REF!</v>
      </c>
      <c r="BT56" t="e">
        <f>AND(#REF!,"AAAAAH//00c=")</f>
        <v>#REF!</v>
      </c>
      <c r="BU56" t="e">
        <f>AND(#REF!,"AAAAAH//00g=")</f>
        <v>#REF!</v>
      </c>
      <c r="BV56" t="e">
        <f>AND(#REF!,"AAAAAH//00k=")</f>
        <v>#REF!</v>
      </c>
      <c r="BW56" t="e">
        <f>AND(#REF!,"AAAAAH//00o=")</f>
        <v>#REF!</v>
      </c>
      <c r="BX56" t="e">
        <f>AND(#REF!,"AAAAAH//00s=")</f>
        <v>#REF!</v>
      </c>
      <c r="BY56" t="e">
        <f>AND(#REF!,"AAAAAH//00w=")</f>
        <v>#REF!</v>
      </c>
      <c r="BZ56" t="e">
        <f>AND(#REF!,"AAAAAH//000=")</f>
        <v>#REF!</v>
      </c>
      <c r="CA56" t="e">
        <f>AND(#REF!,"AAAAAH//004=")</f>
        <v>#REF!</v>
      </c>
      <c r="CB56" t="e">
        <f>AND(#REF!,"AAAAAH//008=")</f>
        <v>#REF!</v>
      </c>
      <c r="CC56" t="e">
        <f>AND(#REF!,"AAAAAH//01A=")</f>
        <v>#REF!</v>
      </c>
      <c r="CD56" t="e">
        <f>AND(#REF!,"AAAAAH//01E=")</f>
        <v>#REF!</v>
      </c>
      <c r="CE56" t="e">
        <f>AND(#REF!,"AAAAAH//01I=")</f>
        <v>#REF!</v>
      </c>
      <c r="CF56" t="e">
        <f>AND(#REF!,"AAAAAH//01M=")</f>
        <v>#REF!</v>
      </c>
      <c r="CG56" t="e">
        <f>AND(#REF!,"AAAAAH//01Q=")</f>
        <v>#REF!</v>
      </c>
      <c r="CH56" t="e">
        <f>AND(#REF!,"AAAAAH//01U=")</f>
        <v>#REF!</v>
      </c>
      <c r="CI56" t="e">
        <f>AND(#REF!,"AAAAAH//01Y=")</f>
        <v>#REF!</v>
      </c>
      <c r="CJ56" t="e">
        <f>AND(#REF!,"AAAAAH//01c=")</f>
        <v>#REF!</v>
      </c>
      <c r="CK56" t="e">
        <f>AND(#REF!,"AAAAAH//01g=")</f>
        <v>#REF!</v>
      </c>
      <c r="CL56" t="e">
        <f>IF(#REF!,"AAAAAH//01k=",0)</f>
        <v>#REF!</v>
      </c>
      <c r="CM56" t="e">
        <f>AND(#REF!,"AAAAAH//01o=")</f>
        <v>#REF!</v>
      </c>
      <c r="CN56" t="e">
        <f>AND(#REF!,"AAAAAH//01s=")</f>
        <v>#REF!</v>
      </c>
      <c r="CO56" t="e">
        <f>AND(#REF!,"AAAAAH//01w=")</f>
        <v>#REF!</v>
      </c>
      <c r="CP56" t="e">
        <f>AND(#REF!,"AAAAAH//010=")</f>
        <v>#REF!</v>
      </c>
      <c r="CQ56" t="e">
        <f>AND(#REF!,"AAAAAH//014=")</f>
        <v>#REF!</v>
      </c>
      <c r="CR56" t="e">
        <f>AND(#REF!,"AAAAAH//018=")</f>
        <v>#REF!</v>
      </c>
      <c r="CS56" t="e">
        <f>AND(#REF!,"AAAAAH//02A=")</f>
        <v>#REF!</v>
      </c>
      <c r="CT56" t="e">
        <f>AND(#REF!,"AAAAAH//02E=")</f>
        <v>#REF!</v>
      </c>
      <c r="CU56" t="e">
        <f>AND(#REF!,"AAAAAH//02I=")</f>
        <v>#REF!</v>
      </c>
      <c r="CV56" t="e">
        <f>AND(#REF!,"AAAAAH//02M=")</f>
        <v>#REF!</v>
      </c>
      <c r="CW56" t="e">
        <f>AND(#REF!,"AAAAAH//02Q=")</f>
        <v>#REF!</v>
      </c>
      <c r="CX56" t="e">
        <f>AND(#REF!,"AAAAAH//02U=")</f>
        <v>#REF!</v>
      </c>
      <c r="CY56" t="e">
        <f>AND(#REF!,"AAAAAH//02Y=")</f>
        <v>#REF!</v>
      </c>
      <c r="CZ56" t="e">
        <f>AND(#REF!,"AAAAAH//02c=")</f>
        <v>#REF!</v>
      </c>
      <c r="DA56" t="e">
        <f>AND(#REF!,"AAAAAH//02g=")</f>
        <v>#REF!</v>
      </c>
      <c r="DB56" t="e">
        <f>AND(#REF!,"AAAAAH//02k=")</f>
        <v>#REF!</v>
      </c>
      <c r="DC56" t="e">
        <f>AND(#REF!,"AAAAAH//02o=")</f>
        <v>#REF!</v>
      </c>
      <c r="DD56" t="e">
        <f>AND(#REF!,"AAAAAH//02s=")</f>
        <v>#REF!</v>
      </c>
      <c r="DE56" t="e">
        <f>AND(#REF!,"AAAAAH//02w=")</f>
        <v>#REF!</v>
      </c>
      <c r="DF56" t="e">
        <f>AND(#REF!,"AAAAAH//020=")</f>
        <v>#REF!</v>
      </c>
      <c r="DG56" t="e">
        <f>AND(#REF!,"AAAAAH//024=")</f>
        <v>#REF!</v>
      </c>
      <c r="DH56" t="e">
        <f>AND(#REF!,"AAAAAH//028=")</f>
        <v>#REF!</v>
      </c>
      <c r="DI56" t="e">
        <f>AND(#REF!,"AAAAAH//03A=")</f>
        <v>#REF!</v>
      </c>
      <c r="DJ56" t="e">
        <f>AND(#REF!,"AAAAAH//03E=")</f>
        <v>#REF!</v>
      </c>
      <c r="DK56" t="e">
        <f>AND(#REF!,"AAAAAH//03I=")</f>
        <v>#REF!</v>
      </c>
      <c r="DL56" t="e">
        <f>AND(#REF!,"AAAAAH//03M=")</f>
        <v>#REF!</v>
      </c>
      <c r="DM56" t="e">
        <f>AND(#REF!,"AAAAAH//03Q=")</f>
        <v>#REF!</v>
      </c>
      <c r="DN56" t="e">
        <f>AND(#REF!,"AAAAAH//03U=")</f>
        <v>#REF!</v>
      </c>
      <c r="DO56" t="e">
        <f>AND(#REF!,"AAAAAH//03Y=")</f>
        <v>#REF!</v>
      </c>
      <c r="DP56" t="e">
        <f>AND(#REF!,"AAAAAH//03c=")</f>
        <v>#REF!</v>
      </c>
      <c r="DQ56" t="e">
        <f>AND(#REF!,"AAAAAH//03g=")</f>
        <v>#REF!</v>
      </c>
      <c r="DR56" t="e">
        <f>AND(#REF!,"AAAAAH//03k=")</f>
        <v>#REF!</v>
      </c>
      <c r="DS56" t="e">
        <f>AND(#REF!,"AAAAAH//03o=")</f>
        <v>#REF!</v>
      </c>
      <c r="DT56" t="e">
        <f>AND(#REF!,"AAAAAH//03s=")</f>
        <v>#REF!</v>
      </c>
      <c r="DU56" t="e">
        <f>AND(#REF!,"AAAAAH//03w=")</f>
        <v>#REF!</v>
      </c>
      <c r="DV56" t="e">
        <f>AND(#REF!,"AAAAAH//030=")</f>
        <v>#REF!</v>
      </c>
      <c r="DW56" t="e">
        <f>AND(#REF!,"AAAAAH//034=")</f>
        <v>#REF!</v>
      </c>
      <c r="DX56" t="e">
        <f>AND(#REF!,"AAAAAH//038=")</f>
        <v>#REF!</v>
      </c>
      <c r="DY56" t="e">
        <f>AND(#REF!,"AAAAAH//04A=")</f>
        <v>#REF!</v>
      </c>
      <c r="DZ56" t="e">
        <f>AND(#REF!,"AAAAAH//04E=")</f>
        <v>#REF!</v>
      </c>
      <c r="EA56" t="e">
        <f>AND(#REF!,"AAAAAH//04I=")</f>
        <v>#REF!</v>
      </c>
      <c r="EB56" t="e">
        <f>AND(#REF!,"AAAAAH//04M=")</f>
        <v>#REF!</v>
      </c>
      <c r="EC56" t="e">
        <f>AND(#REF!,"AAAAAH//04Q=")</f>
        <v>#REF!</v>
      </c>
      <c r="ED56" t="e">
        <f>AND(#REF!,"AAAAAH//04U=")</f>
        <v>#REF!</v>
      </c>
      <c r="EE56" t="e">
        <f>AND(#REF!,"AAAAAH//04Y=")</f>
        <v>#REF!</v>
      </c>
      <c r="EF56" t="e">
        <f>AND(#REF!,"AAAAAH//04c=")</f>
        <v>#REF!</v>
      </c>
      <c r="EG56" t="e">
        <f>AND(#REF!,"AAAAAH//04g=")</f>
        <v>#REF!</v>
      </c>
      <c r="EH56" t="e">
        <f>AND(#REF!,"AAAAAH//04k=")</f>
        <v>#REF!</v>
      </c>
      <c r="EI56" t="e">
        <f>AND(#REF!,"AAAAAH//04o=")</f>
        <v>#REF!</v>
      </c>
      <c r="EJ56" t="e">
        <f>AND(#REF!,"AAAAAH//04s=")</f>
        <v>#REF!</v>
      </c>
      <c r="EK56" t="e">
        <f>AND(#REF!,"AAAAAH//04w=")</f>
        <v>#REF!</v>
      </c>
      <c r="EL56" t="e">
        <f>AND(#REF!,"AAAAAH//040=")</f>
        <v>#REF!</v>
      </c>
      <c r="EM56" t="e">
        <f>AND(#REF!,"AAAAAH//044=")</f>
        <v>#REF!</v>
      </c>
      <c r="EN56" t="e">
        <f>AND(#REF!,"AAAAAH//048=")</f>
        <v>#REF!</v>
      </c>
      <c r="EO56" t="e">
        <f>IF(#REF!,"AAAAAH//05A=",0)</f>
        <v>#REF!</v>
      </c>
      <c r="EP56" t="e">
        <f>AND(#REF!,"AAAAAH//05E=")</f>
        <v>#REF!</v>
      </c>
      <c r="EQ56" t="e">
        <f>AND(#REF!,"AAAAAH//05I=")</f>
        <v>#REF!</v>
      </c>
      <c r="ER56" t="e">
        <f>AND(#REF!,"AAAAAH//05M=")</f>
        <v>#REF!</v>
      </c>
      <c r="ES56" t="e">
        <f>AND(#REF!,"AAAAAH//05Q=")</f>
        <v>#REF!</v>
      </c>
      <c r="ET56" t="e">
        <f>AND(#REF!,"AAAAAH//05U=")</f>
        <v>#REF!</v>
      </c>
      <c r="EU56" t="e">
        <f>AND(#REF!,"AAAAAH//05Y=")</f>
        <v>#REF!</v>
      </c>
      <c r="EV56" t="e">
        <f>AND(#REF!,"AAAAAH//05c=")</f>
        <v>#REF!</v>
      </c>
      <c r="EW56" t="e">
        <f>AND(#REF!,"AAAAAH//05g=")</f>
        <v>#REF!</v>
      </c>
      <c r="EX56" t="e">
        <f>AND(#REF!,"AAAAAH//05k=")</f>
        <v>#REF!</v>
      </c>
      <c r="EY56" t="e">
        <f>AND(#REF!,"AAAAAH//05o=")</f>
        <v>#REF!</v>
      </c>
      <c r="EZ56" t="e">
        <f>AND(#REF!,"AAAAAH//05s=")</f>
        <v>#REF!</v>
      </c>
      <c r="FA56" t="e">
        <f>AND(#REF!,"AAAAAH//05w=")</f>
        <v>#REF!</v>
      </c>
      <c r="FB56" t="e">
        <f>AND(#REF!,"AAAAAH//050=")</f>
        <v>#REF!</v>
      </c>
      <c r="FC56" t="e">
        <f>AND(#REF!,"AAAAAH//054=")</f>
        <v>#REF!</v>
      </c>
      <c r="FD56" t="e">
        <f>AND(#REF!,"AAAAAH//058=")</f>
        <v>#REF!</v>
      </c>
      <c r="FE56" t="e">
        <f>AND(#REF!,"AAAAAH//06A=")</f>
        <v>#REF!</v>
      </c>
      <c r="FF56" t="e">
        <f>AND(#REF!,"AAAAAH//06E=")</f>
        <v>#REF!</v>
      </c>
      <c r="FG56" t="e">
        <f>AND(#REF!,"AAAAAH//06I=")</f>
        <v>#REF!</v>
      </c>
      <c r="FH56" t="e">
        <f>AND(#REF!,"AAAAAH//06M=")</f>
        <v>#REF!</v>
      </c>
      <c r="FI56" t="e">
        <f>AND(#REF!,"AAAAAH//06Q=")</f>
        <v>#REF!</v>
      </c>
      <c r="FJ56" t="e">
        <f>AND(#REF!,"AAAAAH//06U=")</f>
        <v>#REF!</v>
      </c>
      <c r="FK56" t="e">
        <f>AND(#REF!,"AAAAAH//06Y=")</f>
        <v>#REF!</v>
      </c>
      <c r="FL56" t="e">
        <f>AND(#REF!,"AAAAAH//06c=")</f>
        <v>#REF!</v>
      </c>
      <c r="FM56" t="e">
        <f>AND(#REF!,"AAAAAH//06g=")</f>
        <v>#REF!</v>
      </c>
      <c r="FN56" t="e">
        <f>AND(#REF!,"AAAAAH//06k=")</f>
        <v>#REF!</v>
      </c>
      <c r="FO56" t="e">
        <f>AND(#REF!,"AAAAAH//06o=")</f>
        <v>#REF!</v>
      </c>
      <c r="FP56" t="e">
        <f>AND(#REF!,"AAAAAH//06s=")</f>
        <v>#REF!</v>
      </c>
      <c r="FQ56" t="e">
        <f>AND(#REF!,"AAAAAH//06w=")</f>
        <v>#REF!</v>
      </c>
      <c r="FR56" t="e">
        <f>AND(#REF!,"AAAAAH//060=")</f>
        <v>#REF!</v>
      </c>
      <c r="FS56" t="e">
        <f>AND(#REF!,"AAAAAH//064=")</f>
        <v>#REF!</v>
      </c>
      <c r="FT56" t="e">
        <f>AND(#REF!,"AAAAAH//068=")</f>
        <v>#REF!</v>
      </c>
      <c r="FU56" t="e">
        <f>AND(#REF!,"AAAAAH//07A=")</f>
        <v>#REF!</v>
      </c>
      <c r="FV56" t="e">
        <f>AND(#REF!,"AAAAAH//07E=")</f>
        <v>#REF!</v>
      </c>
      <c r="FW56" t="e">
        <f>AND(#REF!,"AAAAAH//07I=")</f>
        <v>#REF!</v>
      </c>
      <c r="FX56" t="e">
        <f>AND(#REF!,"AAAAAH//07M=")</f>
        <v>#REF!</v>
      </c>
      <c r="FY56" t="e">
        <f>AND(#REF!,"AAAAAH//07Q=")</f>
        <v>#REF!</v>
      </c>
      <c r="FZ56" t="e">
        <f>AND(#REF!,"AAAAAH//07U=")</f>
        <v>#REF!</v>
      </c>
      <c r="GA56" t="e">
        <f>AND(#REF!,"AAAAAH//07Y=")</f>
        <v>#REF!</v>
      </c>
      <c r="GB56" t="e">
        <f>AND(#REF!,"AAAAAH//07c=")</f>
        <v>#REF!</v>
      </c>
      <c r="GC56" t="e">
        <f>AND(#REF!,"AAAAAH//07g=")</f>
        <v>#REF!</v>
      </c>
      <c r="GD56" t="e">
        <f>AND(#REF!,"AAAAAH//07k=")</f>
        <v>#REF!</v>
      </c>
      <c r="GE56" t="e">
        <f>AND(#REF!,"AAAAAH//07o=")</f>
        <v>#REF!</v>
      </c>
      <c r="GF56" t="e">
        <f>AND(#REF!,"AAAAAH//07s=")</f>
        <v>#REF!</v>
      </c>
      <c r="GG56" t="e">
        <f>AND(#REF!,"AAAAAH//07w=")</f>
        <v>#REF!</v>
      </c>
      <c r="GH56" t="e">
        <f>AND(#REF!,"AAAAAH//070=")</f>
        <v>#REF!</v>
      </c>
      <c r="GI56" t="e">
        <f>AND(#REF!,"AAAAAH//074=")</f>
        <v>#REF!</v>
      </c>
      <c r="GJ56" t="e">
        <f>AND(#REF!,"AAAAAH//078=")</f>
        <v>#REF!</v>
      </c>
      <c r="GK56" t="e">
        <f>AND(#REF!,"AAAAAH//08A=")</f>
        <v>#REF!</v>
      </c>
      <c r="GL56" t="e">
        <f>AND(#REF!,"AAAAAH//08E=")</f>
        <v>#REF!</v>
      </c>
      <c r="GM56" t="e">
        <f>AND(#REF!,"AAAAAH//08I=")</f>
        <v>#REF!</v>
      </c>
      <c r="GN56" t="e">
        <f>AND(#REF!,"AAAAAH//08M=")</f>
        <v>#REF!</v>
      </c>
      <c r="GO56" t="e">
        <f>AND(#REF!,"AAAAAH//08Q=")</f>
        <v>#REF!</v>
      </c>
      <c r="GP56" t="e">
        <f>AND(#REF!,"AAAAAH//08U=")</f>
        <v>#REF!</v>
      </c>
      <c r="GQ56" t="e">
        <f>AND(#REF!,"AAAAAH//08Y=")</f>
        <v>#REF!</v>
      </c>
      <c r="GR56" t="e">
        <f>IF(#REF!,"AAAAAH//08c=",0)</f>
        <v>#REF!</v>
      </c>
      <c r="GS56" t="e">
        <f>AND(#REF!,"AAAAAH//08g=")</f>
        <v>#REF!</v>
      </c>
      <c r="GT56" t="e">
        <f>AND(#REF!,"AAAAAH//08k=")</f>
        <v>#REF!</v>
      </c>
      <c r="GU56" t="e">
        <f>AND(#REF!,"AAAAAH//08o=")</f>
        <v>#REF!</v>
      </c>
      <c r="GV56" t="e">
        <f>AND(#REF!,"AAAAAH//08s=")</f>
        <v>#REF!</v>
      </c>
      <c r="GW56" t="e">
        <f>AND(#REF!,"AAAAAH//08w=")</f>
        <v>#REF!</v>
      </c>
      <c r="GX56" t="e">
        <f>AND(#REF!,"AAAAAH//080=")</f>
        <v>#REF!</v>
      </c>
      <c r="GY56" t="e">
        <f>AND(#REF!,"AAAAAH//084=")</f>
        <v>#REF!</v>
      </c>
      <c r="GZ56" t="e">
        <f>AND(#REF!,"AAAAAH//088=")</f>
        <v>#REF!</v>
      </c>
      <c r="HA56" t="e">
        <f>AND(#REF!,"AAAAAH//09A=")</f>
        <v>#REF!</v>
      </c>
      <c r="HB56" t="e">
        <f>AND(#REF!,"AAAAAH//09E=")</f>
        <v>#REF!</v>
      </c>
      <c r="HC56" t="e">
        <f>AND(#REF!,"AAAAAH//09I=")</f>
        <v>#REF!</v>
      </c>
      <c r="HD56" t="e">
        <f>AND(#REF!,"AAAAAH//09M=")</f>
        <v>#REF!</v>
      </c>
      <c r="HE56" t="e">
        <f>AND(#REF!,"AAAAAH//09Q=")</f>
        <v>#REF!</v>
      </c>
      <c r="HF56" t="e">
        <f>AND(#REF!,"AAAAAH//09U=")</f>
        <v>#REF!</v>
      </c>
      <c r="HG56" t="e">
        <f>AND(#REF!,"AAAAAH//09Y=")</f>
        <v>#REF!</v>
      </c>
      <c r="HH56" t="e">
        <f>AND(#REF!,"AAAAAH//09c=")</f>
        <v>#REF!</v>
      </c>
      <c r="HI56" t="e">
        <f>AND(#REF!,"AAAAAH//09g=")</f>
        <v>#REF!</v>
      </c>
      <c r="HJ56" t="e">
        <f>AND(#REF!,"AAAAAH//09k=")</f>
        <v>#REF!</v>
      </c>
      <c r="HK56" t="e">
        <f>AND(#REF!,"AAAAAH//09o=")</f>
        <v>#REF!</v>
      </c>
      <c r="HL56" t="e">
        <f>AND(#REF!,"AAAAAH//09s=")</f>
        <v>#REF!</v>
      </c>
      <c r="HM56" t="e">
        <f>AND(#REF!,"AAAAAH//09w=")</f>
        <v>#REF!</v>
      </c>
      <c r="HN56" t="e">
        <f>AND(#REF!,"AAAAAH//090=")</f>
        <v>#REF!</v>
      </c>
      <c r="HO56" t="e">
        <f>AND(#REF!,"AAAAAH//094=")</f>
        <v>#REF!</v>
      </c>
      <c r="HP56" t="e">
        <f>AND(#REF!,"AAAAAH//098=")</f>
        <v>#REF!</v>
      </c>
      <c r="HQ56" t="e">
        <f>AND(#REF!,"AAAAAH//0+A=")</f>
        <v>#REF!</v>
      </c>
      <c r="HR56" t="e">
        <f>AND(#REF!,"AAAAAH//0+E=")</f>
        <v>#REF!</v>
      </c>
      <c r="HS56" t="e">
        <f>AND(#REF!,"AAAAAH//0+I=")</f>
        <v>#REF!</v>
      </c>
      <c r="HT56" t="e">
        <f>AND(#REF!,"AAAAAH//0+M=")</f>
        <v>#REF!</v>
      </c>
      <c r="HU56" t="e">
        <f>AND(#REF!,"AAAAAH//0+Q=")</f>
        <v>#REF!</v>
      </c>
      <c r="HV56" t="e">
        <f>AND(#REF!,"AAAAAH//0+U=")</f>
        <v>#REF!</v>
      </c>
      <c r="HW56" t="e">
        <f>AND(#REF!,"AAAAAH//0+Y=")</f>
        <v>#REF!</v>
      </c>
      <c r="HX56" t="e">
        <f>AND(#REF!,"AAAAAH//0+c=")</f>
        <v>#REF!</v>
      </c>
      <c r="HY56" t="e">
        <f>AND(#REF!,"AAAAAH//0+g=")</f>
        <v>#REF!</v>
      </c>
      <c r="HZ56" t="e">
        <f>AND(#REF!,"AAAAAH//0+k=")</f>
        <v>#REF!</v>
      </c>
      <c r="IA56" t="e">
        <f>AND(#REF!,"AAAAAH//0+o=")</f>
        <v>#REF!</v>
      </c>
      <c r="IB56" t="e">
        <f>AND(#REF!,"AAAAAH//0+s=")</f>
        <v>#REF!</v>
      </c>
      <c r="IC56" t="e">
        <f>AND(#REF!,"AAAAAH//0+w=")</f>
        <v>#REF!</v>
      </c>
      <c r="ID56" t="e">
        <f>AND(#REF!,"AAAAAH//0+0=")</f>
        <v>#REF!</v>
      </c>
      <c r="IE56" t="e">
        <f>AND(#REF!,"AAAAAH//0+4=")</f>
        <v>#REF!</v>
      </c>
      <c r="IF56" t="e">
        <f>AND(#REF!,"AAAAAH//0+8=")</f>
        <v>#REF!</v>
      </c>
      <c r="IG56" t="e">
        <f>AND(#REF!,"AAAAAH//0/A=")</f>
        <v>#REF!</v>
      </c>
      <c r="IH56" t="e">
        <f>AND(#REF!,"AAAAAH//0/E=")</f>
        <v>#REF!</v>
      </c>
      <c r="II56" t="e">
        <f>AND(#REF!,"AAAAAH//0/I=")</f>
        <v>#REF!</v>
      </c>
      <c r="IJ56" t="e">
        <f>AND(#REF!,"AAAAAH//0/M=")</f>
        <v>#REF!</v>
      </c>
      <c r="IK56" t="e">
        <f>AND(#REF!,"AAAAAH//0/Q=")</f>
        <v>#REF!</v>
      </c>
      <c r="IL56" t="e">
        <f>AND(#REF!,"AAAAAH//0/U=")</f>
        <v>#REF!</v>
      </c>
      <c r="IM56" t="e">
        <f>AND(#REF!,"AAAAAH//0/Y=")</f>
        <v>#REF!</v>
      </c>
      <c r="IN56" t="e">
        <f>AND(#REF!,"AAAAAH//0/c=")</f>
        <v>#REF!</v>
      </c>
      <c r="IO56" t="e">
        <f>AND(#REF!,"AAAAAH//0/g=")</f>
        <v>#REF!</v>
      </c>
      <c r="IP56" t="e">
        <f>AND(#REF!,"AAAAAH//0/k=")</f>
        <v>#REF!</v>
      </c>
      <c r="IQ56" t="e">
        <f>AND(#REF!,"AAAAAH//0/o=")</f>
        <v>#REF!</v>
      </c>
      <c r="IR56" t="e">
        <f>AND(#REF!,"AAAAAH//0/s=")</f>
        <v>#REF!</v>
      </c>
      <c r="IS56" t="e">
        <f>AND(#REF!,"AAAAAH//0/w=")</f>
        <v>#REF!</v>
      </c>
      <c r="IT56" t="e">
        <f>AND(#REF!,"AAAAAH//0/0=")</f>
        <v>#REF!</v>
      </c>
      <c r="IU56" t="e">
        <f>IF(#REF!,"AAAAAH//0/4=",0)</f>
        <v>#REF!</v>
      </c>
      <c r="IV56" t="e">
        <f>AND(#REF!,"AAAAAH//0/8=")</f>
        <v>#REF!</v>
      </c>
    </row>
    <row r="57" spans="1:256" x14ac:dyDescent="0.25">
      <c r="A57" t="e">
        <f>AND(#REF!,"AAAAAEt//wA=")</f>
        <v>#REF!</v>
      </c>
      <c r="B57" t="e">
        <f>AND(#REF!,"AAAAAEt//wE=")</f>
        <v>#REF!</v>
      </c>
      <c r="C57" t="e">
        <f>AND(#REF!,"AAAAAEt//wI=")</f>
        <v>#REF!</v>
      </c>
      <c r="D57" t="e">
        <f>AND(#REF!,"AAAAAEt//wM=")</f>
        <v>#REF!</v>
      </c>
      <c r="E57" t="e">
        <f>AND(#REF!,"AAAAAEt//wQ=")</f>
        <v>#REF!</v>
      </c>
      <c r="F57" t="e">
        <f>AND(#REF!,"AAAAAEt//wU=")</f>
        <v>#REF!</v>
      </c>
      <c r="G57" t="e">
        <f>AND(#REF!,"AAAAAEt//wY=")</f>
        <v>#REF!</v>
      </c>
      <c r="H57" t="e">
        <f>AND(#REF!,"AAAAAEt//wc=")</f>
        <v>#REF!</v>
      </c>
      <c r="I57" t="e">
        <f>AND(#REF!,"AAAAAEt//wg=")</f>
        <v>#REF!</v>
      </c>
      <c r="J57" t="e">
        <f>AND(#REF!,"AAAAAEt//wk=")</f>
        <v>#REF!</v>
      </c>
      <c r="K57" t="e">
        <f>AND(#REF!,"AAAAAEt//wo=")</f>
        <v>#REF!</v>
      </c>
      <c r="L57" t="e">
        <f>AND(#REF!,"AAAAAEt//ws=")</f>
        <v>#REF!</v>
      </c>
      <c r="M57" t="e">
        <f>AND(#REF!,"AAAAAEt//ww=")</f>
        <v>#REF!</v>
      </c>
      <c r="N57" t="e">
        <f>AND(#REF!,"AAAAAEt//w0=")</f>
        <v>#REF!</v>
      </c>
      <c r="O57" t="e">
        <f>AND(#REF!,"AAAAAEt//w4=")</f>
        <v>#REF!</v>
      </c>
      <c r="P57" t="e">
        <f>AND(#REF!,"AAAAAEt//w8=")</f>
        <v>#REF!</v>
      </c>
      <c r="Q57" t="e">
        <f>AND(#REF!,"AAAAAEt//xA=")</f>
        <v>#REF!</v>
      </c>
      <c r="R57" t="e">
        <f>AND(#REF!,"AAAAAEt//xE=")</f>
        <v>#REF!</v>
      </c>
      <c r="S57" t="e">
        <f>AND(#REF!,"AAAAAEt//xI=")</f>
        <v>#REF!</v>
      </c>
      <c r="T57" t="e">
        <f>AND(#REF!,"AAAAAEt//xM=")</f>
        <v>#REF!</v>
      </c>
      <c r="U57" t="e">
        <f>AND(#REF!,"AAAAAEt//xQ=")</f>
        <v>#REF!</v>
      </c>
      <c r="V57" t="e">
        <f>AND(#REF!,"AAAAAEt//xU=")</f>
        <v>#REF!</v>
      </c>
      <c r="W57" t="e">
        <f>AND(#REF!,"AAAAAEt//xY=")</f>
        <v>#REF!</v>
      </c>
      <c r="X57" t="e">
        <f>AND(#REF!,"AAAAAEt//xc=")</f>
        <v>#REF!</v>
      </c>
      <c r="Y57" t="e">
        <f>AND(#REF!,"AAAAAEt//xg=")</f>
        <v>#REF!</v>
      </c>
      <c r="Z57" t="e">
        <f>AND(#REF!,"AAAAAEt//xk=")</f>
        <v>#REF!</v>
      </c>
      <c r="AA57" t="e">
        <f>AND(#REF!,"AAAAAEt//xo=")</f>
        <v>#REF!</v>
      </c>
      <c r="AB57" t="e">
        <f>AND(#REF!,"AAAAAEt//xs=")</f>
        <v>#REF!</v>
      </c>
      <c r="AC57" t="e">
        <f>AND(#REF!,"AAAAAEt//xw=")</f>
        <v>#REF!</v>
      </c>
      <c r="AD57" t="e">
        <f>AND(#REF!,"AAAAAEt//x0=")</f>
        <v>#REF!</v>
      </c>
      <c r="AE57" t="e">
        <f>AND(#REF!,"AAAAAEt//x4=")</f>
        <v>#REF!</v>
      </c>
      <c r="AF57" t="e">
        <f>AND(#REF!,"AAAAAEt//x8=")</f>
        <v>#REF!</v>
      </c>
      <c r="AG57" t="e">
        <f>AND(#REF!,"AAAAAEt//yA=")</f>
        <v>#REF!</v>
      </c>
      <c r="AH57" t="e">
        <f>AND(#REF!,"AAAAAEt//yE=")</f>
        <v>#REF!</v>
      </c>
      <c r="AI57" t="e">
        <f>AND(#REF!,"AAAAAEt//yI=")</f>
        <v>#REF!</v>
      </c>
      <c r="AJ57" t="e">
        <f>AND(#REF!,"AAAAAEt//yM=")</f>
        <v>#REF!</v>
      </c>
      <c r="AK57" t="e">
        <f>AND(#REF!,"AAAAAEt//yQ=")</f>
        <v>#REF!</v>
      </c>
      <c r="AL57" t="e">
        <f>AND(#REF!,"AAAAAEt//yU=")</f>
        <v>#REF!</v>
      </c>
      <c r="AM57" t="e">
        <f>AND(#REF!,"AAAAAEt//yY=")</f>
        <v>#REF!</v>
      </c>
      <c r="AN57" t="e">
        <f>AND(#REF!,"AAAAAEt//yc=")</f>
        <v>#REF!</v>
      </c>
      <c r="AO57" t="e">
        <f>AND(#REF!,"AAAAAEt//yg=")</f>
        <v>#REF!</v>
      </c>
      <c r="AP57" t="e">
        <f>AND(#REF!,"AAAAAEt//yk=")</f>
        <v>#REF!</v>
      </c>
      <c r="AQ57" t="e">
        <f>AND(#REF!,"AAAAAEt//yo=")</f>
        <v>#REF!</v>
      </c>
      <c r="AR57" t="e">
        <f>AND(#REF!,"AAAAAEt//ys=")</f>
        <v>#REF!</v>
      </c>
      <c r="AS57" t="e">
        <f>AND(#REF!,"AAAAAEt//yw=")</f>
        <v>#REF!</v>
      </c>
      <c r="AT57" t="e">
        <f>AND(#REF!,"AAAAAEt//y0=")</f>
        <v>#REF!</v>
      </c>
      <c r="AU57" t="e">
        <f>AND(#REF!,"AAAAAEt//y4=")</f>
        <v>#REF!</v>
      </c>
      <c r="AV57" t="e">
        <f>AND(#REF!,"AAAAAEt//y8=")</f>
        <v>#REF!</v>
      </c>
      <c r="AW57" t="e">
        <f>AND(#REF!,"AAAAAEt//zA=")</f>
        <v>#REF!</v>
      </c>
      <c r="AX57" t="e">
        <f>AND(#REF!,"AAAAAEt//zE=")</f>
        <v>#REF!</v>
      </c>
      <c r="AY57" t="e">
        <f>AND(#REF!,"AAAAAEt//zI=")</f>
        <v>#REF!</v>
      </c>
      <c r="AZ57" t="e">
        <f>AND(#REF!,"AAAAAEt//zM=")</f>
        <v>#REF!</v>
      </c>
      <c r="BA57" t="e">
        <f>AND(#REF!,"AAAAAEt//zQ=")</f>
        <v>#REF!</v>
      </c>
      <c r="BB57" t="e">
        <f>IF(#REF!,"AAAAAEt//zU=",0)</f>
        <v>#REF!</v>
      </c>
      <c r="BC57" t="e">
        <f>AND(#REF!,"AAAAAEt//zY=")</f>
        <v>#REF!</v>
      </c>
      <c r="BD57" t="e">
        <f>AND(#REF!,"AAAAAEt//zc=")</f>
        <v>#REF!</v>
      </c>
      <c r="BE57" t="e">
        <f>AND(#REF!,"AAAAAEt//zg=")</f>
        <v>#REF!</v>
      </c>
      <c r="BF57" t="e">
        <f>AND(#REF!,"AAAAAEt//zk=")</f>
        <v>#REF!</v>
      </c>
      <c r="BG57" t="e">
        <f>AND(#REF!,"AAAAAEt//zo=")</f>
        <v>#REF!</v>
      </c>
      <c r="BH57" t="e">
        <f>AND(#REF!,"AAAAAEt//zs=")</f>
        <v>#REF!</v>
      </c>
      <c r="BI57" t="e">
        <f>AND(#REF!,"AAAAAEt//zw=")</f>
        <v>#REF!</v>
      </c>
      <c r="BJ57" t="e">
        <f>AND(#REF!,"AAAAAEt//z0=")</f>
        <v>#REF!</v>
      </c>
      <c r="BK57" t="e">
        <f>AND(#REF!,"AAAAAEt//z4=")</f>
        <v>#REF!</v>
      </c>
      <c r="BL57" t="e">
        <f>AND(#REF!,"AAAAAEt//z8=")</f>
        <v>#REF!</v>
      </c>
      <c r="BM57" t="e">
        <f>AND(#REF!,"AAAAAEt//0A=")</f>
        <v>#REF!</v>
      </c>
      <c r="BN57" t="e">
        <f>AND(#REF!,"AAAAAEt//0E=")</f>
        <v>#REF!</v>
      </c>
      <c r="BO57" t="e">
        <f>AND(#REF!,"AAAAAEt//0I=")</f>
        <v>#REF!</v>
      </c>
      <c r="BP57" t="e">
        <f>AND(#REF!,"AAAAAEt//0M=")</f>
        <v>#REF!</v>
      </c>
      <c r="BQ57" t="e">
        <f>AND(#REF!,"AAAAAEt//0Q=")</f>
        <v>#REF!</v>
      </c>
      <c r="BR57" t="e">
        <f>AND(#REF!,"AAAAAEt//0U=")</f>
        <v>#REF!</v>
      </c>
      <c r="BS57" t="e">
        <f>AND(#REF!,"AAAAAEt//0Y=")</f>
        <v>#REF!</v>
      </c>
      <c r="BT57" t="e">
        <f>AND(#REF!,"AAAAAEt//0c=")</f>
        <v>#REF!</v>
      </c>
      <c r="BU57" t="e">
        <f>AND(#REF!,"AAAAAEt//0g=")</f>
        <v>#REF!</v>
      </c>
      <c r="BV57" t="e">
        <f>AND(#REF!,"AAAAAEt//0k=")</f>
        <v>#REF!</v>
      </c>
      <c r="BW57" t="e">
        <f>AND(#REF!,"AAAAAEt//0o=")</f>
        <v>#REF!</v>
      </c>
      <c r="BX57" t="e">
        <f>AND(#REF!,"AAAAAEt//0s=")</f>
        <v>#REF!</v>
      </c>
      <c r="BY57" t="e">
        <f>AND(#REF!,"AAAAAEt//0w=")</f>
        <v>#REF!</v>
      </c>
      <c r="BZ57" t="e">
        <f>AND(#REF!,"AAAAAEt//00=")</f>
        <v>#REF!</v>
      </c>
      <c r="CA57" t="e">
        <f>AND(#REF!,"AAAAAEt//04=")</f>
        <v>#REF!</v>
      </c>
      <c r="CB57" t="e">
        <f>AND(#REF!,"AAAAAEt//08=")</f>
        <v>#REF!</v>
      </c>
      <c r="CC57" t="e">
        <f>AND(#REF!,"AAAAAEt//1A=")</f>
        <v>#REF!</v>
      </c>
      <c r="CD57" t="e">
        <f>AND(#REF!,"AAAAAEt//1E=")</f>
        <v>#REF!</v>
      </c>
      <c r="CE57" t="e">
        <f>AND(#REF!,"AAAAAEt//1I=")</f>
        <v>#REF!</v>
      </c>
      <c r="CF57" t="e">
        <f>AND(#REF!,"AAAAAEt//1M=")</f>
        <v>#REF!</v>
      </c>
      <c r="CG57" t="e">
        <f>AND(#REF!,"AAAAAEt//1Q=")</f>
        <v>#REF!</v>
      </c>
      <c r="CH57" t="e">
        <f>AND(#REF!,"AAAAAEt//1U=")</f>
        <v>#REF!</v>
      </c>
      <c r="CI57" t="e">
        <f>AND(#REF!,"AAAAAEt//1Y=")</f>
        <v>#REF!</v>
      </c>
      <c r="CJ57" t="e">
        <f>AND(#REF!,"AAAAAEt//1c=")</f>
        <v>#REF!</v>
      </c>
      <c r="CK57" t="e">
        <f>AND(#REF!,"AAAAAEt//1g=")</f>
        <v>#REF!</v>
      </c>
      <c r="CL57" t="e">
        <f>AND(#REF!,"AAAAAEt//1k=")</f>
        <v>#REF!</v>
      </c>
      <c r="CM57" t="e">
        <f>AND(#REF!,"AAAAAEt//1o=")</f>
        <v>#REF!</v>
      </c>
      <c r="CN57" t="e">
        <f>AND(#REF!,"AAAAAEt//1s=")</f>
        <v>#REF!</v>
      </c>
      <c r="CO57" t="e">
        <f>AND(#REF!,"AAAAAEt//1w=")</f>
        <v>#REF!</v>
      </c>
      <c r="CP57" t="e">
        <f>AND(#REF!,"AAAAAEt//10=")</f>
        <v>#REF!</v>
      </c>
      <c r="CQ57" t="e">
        <f>AND(#REF!,"AAAAAEt//14=")</f>
        <v>#REF!</v>
      </c>
      <c r="CR57" t="e">
        <f>AND(#REF!,"AAAAAEt//18=")</f>
        <v>#REF!</v>
      </c>
      <c r="CS57" t="e">
        <f>AND(#REF!,"AAAAAEt//2A=")</f>
        <v>#REF!</v>
      </c>
      <c r="CT57" t="e">
        <f>AND(#REF!,"AAAAAEt//2E=")</f>
        <v>#REF!</v>
      </c>
      <c r="CU57" t="e">
        <f>AND(#REF!,"AAAAAEt//2I=")</f>
        <v>#REF!</v>
      </c>
      <c r="CV57" t="e">
        <f>AND(#REF!,"AAAAAEt//2M=")</f>
        <v>#REF!</v>
      </c>
      <c r="CW57" t="e">
        <f>AND(#REF!,"AAAAAEt//2Q=")</f>
        <v>#REF!</v>
      </c>
      <c r="CX57" t="e">
        <f>AND(#REF!,"AAAAAEt//2U=")</f>
        <v>#REF!</v>
      </c>
      <c r="CY57" t="e">
        <f>AND(#REF!,"AAAAAEt//2Y=")</f>
        <v>#REF!</v>
      </c>
      <c r="CZ57" t="e">
        <f>AND(#REF!,"AAAAAEt//2c=")</f>
        <v>#REF!</v>
      </c>
      <c r="DA57" t="e">
        <f>AND(#REF!,"AAAAAEt//2g=")</f>
        <v>#REF!</v>
      </c>
      <c r="DB57" t="e">
        <f>AND(#REF!,"AAAAAEt//2k=")</f>
        <v>#REF!</v>
      </c>
      <c r="DC57" t="e">
        <f>AND(#REF!,"AAAAAEt//2o=")</f>
        <v>#REF!</v>
      </c>
      <c r="DD57" t="e">
        <f>AND(#REF!,"AAAAAEt//2s=")</f>
        <v>#REF!</v>
      </c>
      <c r="DE57" t="e">
        <f>IF(#REF!,"AAAAAEt//2w=",0)</f>
        <v>#REF!</v>
      </c>
      <c r="DF57" t="e">
        <f>AND(#REF!,"AAAAAEt//20=")</f>
        <v>#REF!</v>
      </c>
      <c r="DG57" t="e">
        <f>AND(#REF!,"AAAAAEt//24=")</f>
        <v>#REF!</v>
      </c>
      <c r="DH57" t="e">
        <f>AND(#REF!,"AAAAAEt//28=")</f>
        <v>#REF!</v>
      </c>
      <c r="DI57" t="e">
        <f>AND(#REF!,"AAAAAEt//3A=")</f>
        <v>#REF!</v>
      </c>
      <c r="DJ57" t="e">
        <f>AND(#REF!,"AAAAAEt//3E=")</f>
        <v>#REF!</v>
      </c>
      <c r="DK57" t="e">
        <f>AND(#REF!,"AAAAAEt//3I=")</f>
        <v>#REF!</v>
      </c>
      <c r="DL57" t="e">
        <f>AND(#REF!,"AAAAAEt//3M=")</f>
        <v>#REF!</v>
      </c>
      <c r="DM57" t="e">
        <f>AND(#REF!,"AAAAAEt//3Q=")</f>
        <v>#REF!</v>
      </c>
      <c r="DN57" t="e">
        <f>AND(#REF!,"AAAAAEt//3U=")</f>
        <v>#REF!</v>
      </c>
      <c r="DO57" t="e">
        <f>AND(#REF!,"AAAAAEt//3Y=")</f>
        <v>#REF!</v>
      </c>
      <c r="DP57" t="e">
        <f>AND(#REF!,"AAAAAEt//3c=")</f>
        <v>#REF!</v>
      </c>
      <c r="DQ57" t="e">
        <f>AND(#REF!,"AAAAAEt//3g=")</f>
        <v>#REF!</v>
      </c>
      <c r="DR57" t="e">
        <f>AND(#REF!,"AAAAAEt//3k=")</f>
        <v>#REF!</v>
      </c>
      <c r="DS57" t="e">
        <f>AND(#REF!,"AAAAAEt//3o=")</f>
        <v>#REF!</v>
      </c>
      <c r="DT57" t="e">
        <f>AND(#REF!,"AAAAAEt//3s=")</f>
        <v>#REF!</v>
      </c>
      <c r="DU57" t="e">
        <f>AND(#REF!,"AAAAAEt//3w=")</f>
        <v>#REF!</v>
      </c>
      <c r="DV57" t="e">
        <f>AND(#REF!,"AAAAAEt//30=")</f>
        <v>#REF!</v>
      </c>
      <c r="DW57" t="e">
        <f>AND(#REF!,"AAAAAEt//34=")</f>
        <v>#REF!</v>
      </c>
      <c r="DX57" t="e">
        <f>AND(#REF!,"AAAAAEt//38=")</f>
        <v>#REF!</v>
      </c>
      <c r="DY57" t="e">
        <f>AND(#REF!,"AAAAAEt//4A=")</f>
        <v>#REF!</v>
      </c>
      <c r="DZ57" t="e">
        <f>AND(#REF!,"AAAAAEt//4E=")</f>
        <v>#REF!</v>
      </c>
      <c r="EA57" t="e">
        <f>AND(#REF!,"AAAAAEt//4I=")</f>
        <v>#REF!</v>
      </c>
      <c r="EB57" t="e">
        <f>AND(#REF!,"AAAAAEt//4M=")</f>
        <v>#REF!</v>
      </c>
      <c r="EC57" t="e">
        <f>AND(#REF!,"AAAAAEt//4Q=")</f>
        <v>#REF!</v>
      </c>
      <c r="ED57" t="e">
        <f>AND(#REF!,"AAAAAEt//4U=")</f>
        <v>#REF!</v>
      </c>
      <c r="EE57" t="e">
        <f>AND(#REF!,"AAAAAEt//4Y=")</f>
        <v>#REF!</v>
      </c>
      <c r="EF57" t="e">
        <f>AND(#REF!,"AAAAAEt//4c=")</f>
        <v>#REF!</v>
      </c>
      <c r="EG57" t="e">
        <f>AND(#REF!,"AAAAAEt//4g=")</f>
        <v>#REF!</v>
      </c>
      <c r="EH57" t="e">
        <f>AND(#REF!,"AAAAAEt//4k=")</f>
        <v>#REF!</v>
      </c>
      <c r="EI57" t="e">
        <f>AND(#REF!,"AAAAAEt//4o=")</f>
        <v>#REF!</v>
      </c>
      <c r="EJ57" t="e">
        <f>AND(#REF!,"AAAAAEt//4s=")</f>
        <v>#REF!</v>
      </c>
      <c r="EK57" t="e">
        <f>AND(#REF!,"AAAAAEt//4w=")</f>
        <v>#REF!</v>
      </c>
      <c r="EL57" t="e">
        <f>AND(#REF!,"AAAAAEt//40=")</f>
        <v>#REF!</v>
      </c>
      <c r="EM57" t="e">
        <f>AND(#REF!,"AAAAAEt//44=")</f>
        <v>#REF!</v>
      </c>
      <c r="EN57" t="e">
        <f>AND(#REF!,"AAAAAEt//48=")</f>
        <v>#REF!</v>
      </c>
      <c r="EO57" t="e">
        <f>AND(#REF!,"AAAAAEt//5A=")</f>
        <v>#REF!</v>
      </c>
      <c r="EP57" t="e">
        <f>AND(#REF!,"AAAAAEt//5E=")</f>
        <v>#REF!</v>
      </c>
      <c r="EQ57" t="e">
        <f>AND(#REF!,"AAAAAEt//5I=")</f>
        <v>#REF!</v>
      </c>
      <c r="ER57" t="e">
        <f>AND(#REF!,"AAAAAEt//5M=")</f>
        <v>#REF!</v>
      </c>
      <c r="ES57" t="e">
        <f>AND(#REF!,"AAAAAEt//5Q=")</f>
        <v>#REF!</v>
      </c>
      <c r="ET57" t="e">
        <f>AND(#REF!,"AAAAAEt//5U=")</f>
        <v>#REF!</v>
      </c>
      <c r="EU57" t="e">
        <f>AND(#REF!,"AAAAAEt//5Y=")</f>
        <v>#REF!</v>
      </c>
      <c r="EV57" t="e">
        <f>AND(#REF!,"AAAAAEt//5c=")</f>
        <v>#REF!</v>
      </c>
      <c r="EW57" t="e">
        <f>AND(#REF!,"AAAAAEt//5g=")</f>
        <v>#REF!</v>
      </c>
      <c r="EX57" t="e">
        <f>AND(#REF!,"AAAAAEt//5k=")</f>
        <v>#REF!</v>
      </c>
      <c r="EY57" t="e">
        <f>AND(#REF!,"AAAAAEt//5o=")</f>
        <v>#REF!</v>
      </c>
      <c r="EZ57" t="e">
        <f>AND(#REF!,"AAAAAEt//5s=")</f>
        <v>#REF!</v>
      </c>
      <c r="FA57" t="e">
        <f>AND(#REF!,"AAAAAEt//5w=")</f>
        <v>#REF!</v>
      </c>
      <c r="FB57" t="e">
        <f>AND(#REF!,"AAAAAEt//50=")</f>
        <v>#REF!</v>
      </c>
      <c r="FC57" t="e">
        <f>AND(#REF!,"AAAAAEt//54=")</f>
        <v>#REF!</v>
      </c>
      <c r="FD57" t="e">
        <f>AND(#REF!,"AAAAAEt//58=")</f>
        <v>#REF!</v>
      </c>
      <c r="FE57" t="e">
        <f>AND(#REF!,"AAAAAEt//6A=")</f>
        <v>#REF!</v>
      </c>
      <c r="FF57" t="e">
        <f>AND(#REF!,"AAAAAEt//6E=")</f>
        <v>#REF!</v>
      </c>
      <c r="FG57" t="e">
        <f>AND(#REF!,"AAAAAEt//6I=")</f>
        <v>#REF!</v>
      </c>
      <c r="FH57" t="e">
        <f>IF(#REF!,"AAAAAEt//6M=",0)</f>
        <v>#REF!</v>
      </c>
      <c r="FI57" t="e">
        <f>AND(#REF!,"AAAAAEt//6Q=")</f>
        <v>#REF!</v>
      </c>
      <c r="FJ57" t="e">
        <f>AND(#REF!,"AAAAAEt//6U=")</f>
        <v>#REF!</v>
      </c>
      <c r="FK57" t="e">
        <f>AND(#REF!,"AAAAAEt//6Y=")</f>
        <v>#REF!</v>
      </c>
      <c r="FL57" t="e">
        <f>AND(#REF!,"AAAAAEt//6c=")</f>
        <v>#REF!</v>
      </c>
      <c r="FM57" t="e">
        <f>AND(#REF!,"AAAAAEt//6g=")</f>
        <v>#REF!</v>
      </c>
      <c r="FN57" t="e">
        <f>AND(#REF!,"AAAAAEt//6k=")</f>
        <v>#REF!</v>
      </c>
      <c r="FO57" t="e">
        <f>AND(#REF!,"AAAAAEt//6o=")</f>
        <v>#REF!</v>
      </c>
      <c r="FP57" t="e">
        <f>AND(#REF!,"AAAAAEt//6s=")</f>
        <v>#REF!</v>
      </c>
      <c r="FQ57" t="e">
        <f>AND(#REF!,"AAAAAEt//6w=")</f>
        <v>#REF!</v>
      </c>
      <c r="FR57" t="e">
        <f>AND(#REF!,"AAAAAEt//60=")</f>
        <v>#REF!</v>
      </c>
      <c r="FS57" t="e">
        <f>AND(#REF!,"AAAAAEt//64=")</f>
        <v>#REF!</v>
      </c>
      <c r="FT57" t="e">
        <f>AND(#REF!,"AAAAAEt//68=")</f>
        <v>#REF!</v>
      </c>
      <c r="FU57" t="e">
        <f>AND(#REF!,"AAAAAEt//7A=")</f>
        <v>#REF!</v>
      </c>
      <c r="FV57" t="e">
        <f>AND(#REF!,"AAAAAEt//7E=")</f>
        <v>#REF!</v>
      </c>
      <c r="FW57" t="e">
        <f>AND(#REF!,"AAAAAEt//7I=")</f>
        <v>#REF!</v>
      </c>
      <c r="FX57" t="e">
        <f>AND(#REF!,"AAAAAEt//7M=")</f>
        <v>#REF!</v>
      </c>
      <c r="FY57" t="e">
        <f>AND(#REF!,"AAAAAEt//7Q=")</f>
        <v>#REF!</v>
      </c>
      <c r="FZ57" t="e">
        <f>AND(#REF!,"AAAAAEt//7U=")</f>
        <v>#REF!</v>
      </c>
      <c r="GA57" t="e">
        <f>AND(#REF!,"AAAAAEt//7Y=")</f>
        <v>#REF!</v>
      </c>
      <c r="GB57" t="e">
        <f>AND(#REF!,"AAAAAEt//7c=")</f>
        <v>#REF!</v>
      </c>
      <c r="GC57" t="e">
        <f>AND(#REF!,"AAAAAEt//7g=")</f>
        <v>#REF!</v>
      </c>
      <c r="GD57" t="e">
        <f>AND(#REF!,"AAAAAEt//7k=")</f>
        <v>#REF!</v>
      </c>
      <c r="GE57" t="e">
        <f>AND(#REF!,"AAAAAEt//7o=")</f>
        <v>#REF!</v>
      </c>
      <c r="GF57" t="e">
        <f>AND(#REF!,"AAAAAEt//7s=")</f>
        <v>#REF!</v>
      </c>
      <c r="GG57" t="e">
        <f>AND(#REF!,"AAAAAEt//7w=")</f>
        <v>#REF!</v>
      </c>
      <c r="GH57" t="e">
        <f>AND(#REF!,"AAAAAEt//70=")</f>
        <v>#REF!</v>
      </c>
      <c r="GI57" t="e">
        <f>AND(#REF!,"AAAAAEt//74=")</f>
        <v>#REF!</v>
      </c>
      <c r="GJ57" t="e">
        <f>AND(#REF!,"AAAAAEt//78=")</f>
        <v>#REF!</v>
      </c>
      <c r="GK57" t="e">
        <f>AND(#REF!,"AAAAAEt//8A=")</f>
        <v>#REF!</v>
      </c>
      <c r="GL57" t="e">
        <f>AND(#REF!,"AAAAAEt//8E=")</f>
        <v>#REF!</v>
      </c>
      <c r="GM57" t="e">
        <f>AND(#REF!,"AAAAAEt//8I=")</f>
        <v>#REF!</v>
      </c>
      <c r="GN57" t="e">
        <f>AND(#REF!,"AAAAAEt//8M=")</f>
        <v>#REF!</v>
      </c>
      <c r="GO57" t="e">
        <f>AND(#REF!,"AAAAAEt//8Q=")</f>
        <v>#REF!</v>
      </c>
      <c r="GP57" t="e">
        <f>AND(#REF!,"AAAAAEt//8U=")</f>
        <v>#REF!</v>
      </c>
      <c r="GQ57" t="e">
        <f>AND(#REF!,"AAAAAEt//8Y=")</f>
        <v>#REF!</v>
      </c>
      <c r="GR57" t="e">
        <f>AND(#REF!,"AAAAAEt//8c=")</f>
        <v>#REF!</v>
      </c>
      <c r="GS57" t="e">
        <f>AND(#REF!,"AAAAAEt//8g=")</f>
        <v>#REF!</v>
      </c>
      <c r="GT57" t="e">
        <f>AND(#REF!,"AAAAAEt//8k=")</f>
        <v>#REF!</v>
      </c>
      <c r="GU57" t="e">
        <f>AND(#REF!,"AAAAAEt//8o=")</f>
        <v>#REF!</v>
      </c>
      <c r="GV57" t="e">
        <f>AND(#REF!,"AAAAAEt//8s=")</f>
        <v>#REF!</v>
      </c>
      <c r="GW57" t="e">
        <f>AND(#REF!,"AAAAAEt//8w=")</f>
        <v>#REF!</v>
      </c>
      <c r="GX57" t="e">
        <f>AND(#REF!,"AAAAAEt//80=")</f>
        <v>#REF!</v>
      </c>
      <c r="GY57" t="e">
        <f>AND(#REF!,"AAAAAEt//84=")</f>
        <v>#REF!</v>
      </c>
      <c r="GZ57" t="e">
        <f>AND(#REF!,"AAAAAEt//88=")</f>
        <v>#REF!</v>
      </c>
      <c r="HA57" t="e">
        <f>AND(#REF!,"AAAAAEt//9A=")</f>
        <v>#REF!</v>
      </c>
      <c r="HB57" t="e">
        <f>AND(#REF!,"AAAAAEt//9E=")</f>
        <v>#REF!</v>
      </c>
      <c r="HC57" t="e">
        <f>AND(#REF!,"AAAAAEt//9I=")</f>
        <v>#REF!</v>
      </c>
      <c r="HD57" t="e">
        <f>AND(#REF!,"AAAAAEt//9M=")</f>
        <v>#REF!</v>
      </c>
      <c r="HE57" t="e">
        <f>AND(#REF!,"AAAAAEt//9Q=")</f>
        <v>#REF!</v>
      </c>
      <c r="HF57" t="e">
        <f>AND(#REF!,"AAAAAEt//9U=")</f>
        <v>#REF!</v>
      </c>
      <c r="HG57" t="e">
        <f>AND(#REF!,"AAAAAEt//9Y=")</f>
        <v>#REF!</v>
      </c>
      <c r="HH57" t="e">
        <f>AND(#REF!,"AAAAAEt//9c=")</f>
        <v>#REF!</v>
      </c>
      <c r="HI57" t="e">
        <f>AND(#REF!,"AAAAAEt//9g=")</f>
        <v>#REF!</v>
      </c>
      <c r="HJ57" t="e">
        <f>AND(#REF!,"AAAAAEt//9k=")</f>
        <v>#REF!</v>
      </c>
      <c r="HK57" t="e">
        <f>IF(#REF!,"AAAAAEt//9o=",0)</f>
        <v>#REF!</v>
      </c>
      <c r="HL57" t="e">
        <f>AND(#REF!,"AAAAAEt//9s=")</f>
        <v>#REF!</v>
      </c>
      <c r="HM57" t="e">
        <f>AND(#REF!,"AAAAAEt//9w=")</f>
        <v>#REF!</v>
      </c>
      <c r="HN57" t="e">
        <f>AND(#REF!,"AAAAAEt//90=")</f>
        <v>#REF!</v>
      </c>
      <c r="HO57" t="e">
        <f>AND(#REF!,"AAAAAEt//94=")</f>
        <v>#REF!</v>
      </c>
      <c r="HP57" t="e">
        <f>AND(#REF!,"AAAAAEt//98=")</f>
        <v>#REF!</v>
      </c>
      <c r="HQ57" t="e">
        <f>AND(#REF!,"AAAAAEt//+A=")</f>
        <v>#REF!</v>
      </c>
      <c r="HR57" t="e">
        <f>AND(#REF!,"AAAAAEt//+E=")</f>
        <v>#REF!</v>
      </c>
      <c r="HS57" t="e">
        <f>AND(#REF!,"AAAAAEt//+I=")</f>
        <v>#REF!</v>
      </c>
      <c r="HT57" t="e">
        <f>AND(#REF!,"AAAAAEt//+M=")</f>
        <v>#REF!</v>
      </c>
      <c r="HU57" t="e">
        <f>AND(#REF!,"AAAAAEt//+Q=")</f>
        <v>#REF!</v>
      </c>
      <c r="HV57" t="e">
        <f>AND(#REF!,"AAAAAEt//+U=")</f>
        <v>#REF!</v>
      </c>
      <c r="HW57" t="e">
        <f>AND(#REF!,"AAAAAEt//+Y=")</f>
        <v>#REF!</v>
      </c>
      <c r="HX57" t="e">
        <f>AND(#REF!,"AAAAAEt//+c=")</f>
        <v>#REF!</v>
      </c>
      <c r="HY57" t="e">
        <f>AND(#REF!,"AAAAAEt//+g=")</f>
        <v>#REF!</v>
      </c>
      <c r="HZ57" t="e">
        <f>AND(#REF!,"AAAAAEt//+k=")</f>
        <v>#REF!</v>
      </c>
      <c r="IA57" t="e">
        <f>AND(#REF!,"AAAAAEt//+o=")</f>
        <v>#REF!</v>
      </c>
      <c r="IB57" t="e">
        <f>AND(#REF!,"AAAAAEt//+s=")</f>
        <v>#REF!</v>
      </c>
      <c r="IC57" t="e">
        <f>AND(#REF!,"AAAAAEt//+w=")</f>
        <v>#REF!</v>
      </c>
      <c r="ID57" t="e">
        <f>AND(#REF!,"AAAAAEt//+0=")</f>
        <v>#REF!</v>
      </c>
      <c r="IE57" t="e">
        <f>AND(#REF!,"AAAAAEt//+4=")</f>
        <v>#REF!</v>
      </c>
      <c r="IF57" t="e">
        <f>AND(#REF!,"AAAAAEt//+8=")</f>
        <v>#REF!</v>
      </c>
      <c r="IG57" t="e">
        <f>AND(#REF!,"AAAAAEt///A=")</f>
        <v>#REF!</v>
      </c>
      <c r="IH57" t="e">
        <f>AND(#REF!,"AAAAAEt///E=")</f>
        <v>#REF!</v>
      </c>
      <c r="II57" t="e">
        <f>AND(#REF!,"AAAAAEt///I=")</f>
        <v>#REF!</v>
      </c>
      <c r="IJ57" t="e">
        <f>AND(#REF!,"AAAAAEt///M=")</f>
        <v>#REF!</v>
      </c>
      <c r="IK57" t="e">
        <f>AND(#REF!,"AAAAAEt///Q=")</f>
        <v>#REF!</v>
      </c>
      <c r="IL57" t="e">
        <f>AND(#REF!,"AAAAAEt///U=")</f>
        <v>#REF!</v>
      </c>
      <c r="IM57" t="e">
        <f>AND(#REF!,"AAAAAEt///Y=")</f>
        <v>#REF!</v>
      </c>
      <c r="IN57" t="e">
        <f>AND(#REF!,"AAAAAEt///c=")</f>
        <v>#REF!</v>
      </c>
      <c r="IO57" t="e">
        <f>AND(#REF!,"AAAAAEt///g=")</f>
        <v>#REF!</v>
      </c>
      <c r="IP57" t="e">
        <f>AND(#REF!,"AAAAAEt///k=")</f>
        <v>#REF!</v>
      </c>
      <c r="IQ57" t="e">
        <f>AND(#REF!,"AAAAAEt///o=")</f>
        <v>#REF!</v>
      </c>
      <c r="IR57" t="e">
        <f>AND(#REF!,"AAAAAEt///s=")</f>
        <v>#REF!</v>
      </c>
      <c r="IS57" t="e">
        <f>AND(#REF!,"AAAAAEt///w=")</f>
        <v>#REF!</v>
      </c>
      <c r="IT57" t="e">
        <f>AND(#REF!,"AAAAAEt///0=")</f>
        <v>#REF!</v>
      </c>
      <c r="IU57" t="e">
        <f>AND(#REF!,"AAAAAEt///4=")</f>
        <v>#REF!</v>
      </c>
      <c r="IV57" t="e">
        <f>AND(#REF!,"AAAAAEt///8=")</f>
        <v>#REF!</v>
      </c>
    </row>
    <row r="58" spans="1:256" x14ac:dyDescent="0.25">
      <c r="A58" t="e">
        <f>AND(#REF!,"AAAAADc//wA=")</f>
        <v>#REF!</v>
      </c>
      <c r="B58" t="e">
        <f>AND(#REF!,"AAAAADc//wE=")</f>
        <v>#REF!</v>
      </c>
      <c r="C58" t="e">
        <f>AND(#REF!,"AAAAADc//wI=")</f>
        <v>#REF!</v>
      </c>
      <c r="D58" t="e">
        <f>AND(#REF!,"AAAAADc//wM=")</f>
        <v>#REF!</v>
      </c>
      <c r="E58" t="e">
        <f>AND(#REF!,"AAAAADc//wQ=")</f>
        <v>#REF!</v>
      </c>
      <c r="F58" t="e">
        <f>AND(#REF!,"AAAAADc//wU=")</f>
        <v>#REF!</v>
      </c>
      <c r="G58" t="e">
        <f>AND(#REF!,"AAAAADc//wY=")</f>
        <v>#REF!</v>
      </c>
      <c r="H58" t="e">
        <f>AND(#REF!,"AAAAADc//wc=")</f>
        <v>#REF!</v>
      </c>
      <c r="I58" t="e">
        <f>AND(#REF!,"AAAAADc//wg=")</f>
        <v>#REF!</v>
      </c>
      <c r="J58" t="e">
        <f>AND(#REF!,"AAAAADc//wk=")</f>
        <v>#REF!</v>
      </c>
      <c r="K58" t="e">
        <f>AND(#REF!,"AAAAADc//wo=")</f>
        <v>#REF!</v>
      </c>
      <c r="L58" t="e">
        <f>AND(#REF!,"AAAAADc//ws=")</f>
        <v>#REF!</v>
      </c>
      <c r="M58" t="e">
        <f>AND(#REF!,"AAAAADc//ww=")</f>
        <v>#REF!</v>
      </c>
      <c r="N58" t="e">
        <f>AND(#REF!,"AAAAADc//w0=")</f>
        <v>#REF!</v>
      </c>
      <c r="O58" t="e">
        <f>AND(#REF!,"AAAAADc//w4=")</f>
        <v>#REF!</v>
      </c>
      <c r="P58" t="e">
        <f>AND(#REF!,"AAAAADc//w8=")</f>
        <v>#REF!</v>
      </c>
      <c r="Q58" t="e">
        <f>AND(#REF!,"AAAAADc//xA=")</f>
        <v>#REF!</v>
      </c>
      <c r="R58" t="e">
        <f>IF(#REF!,"AAAAADc//xE=",0)</f>
        <v>#REF!</v>
      </c>
      <c r="S58" t="e">
        <f>AND(#REF!,"AAAAADc//xI=")</f>
        <v>#REF!</v>
      </c>
      <c r="T58" t="e">
        <f>AND(#REF!,"AAAAADc//xM=")</f>
        <v>#REF!</v>
      </c>
      <c r="U58" t="e">
        <f>AND(#REF!,"AAAAADc//xQ=")</f>
        <v>#REF!</v>
      </c>
      <c r="V58" t="e">
        <f>AND(#REF!,"AAAAADc//xU=")</f>
        <v>#REF!</v>
      </c>
      <c r="W58" t="e">
        <f>AND(#REF!,"AAAAADc//xY=")</f>
        <v>#REF!</v>
      </c>
      <c r="X58" t="e">
        <f>AND(#REF!,"AAAAADc//xc=")</f>
        <v>#REF!</v>
      </c>
      <c r="Y58" t="e">
        <f>AND(#REF!,"AAAAADc//xg=")</f>
        <v>#REF!</v>
      </c>
      <c r="Z58" t="e">
        <f>AND(#REF!,"AAAAADc//xk=")</f>
        <v>#REF!</v>
      </c>
      <c r="AA58" t="e">
        <f>AND(#REF!,"AAAAADc//xo=")</f>
        <v>#REF!</v>
      </c>
      <c r="AB58" t="e">
        <f>AND(#REF!,"AAAAADc//xs=")</f>
        <v>#REF!</v>
      </c>
      <c r="AC58" t="e">
        <f>AND(#REF!,"AAAAADc//xw=")</f>
        <v>#REF!</v>
      </c>
      <c r="AD58" t="e">
        <f>AND(#REF!,"AAAAADc//x0=")</f>
        <v>#REF!</v>
      </c>
      <c r="AE58" t="e">
        <f>AND(#REF!,"AAAAADc//x4=")</f>
        <v>#REF!</v>
      </c>
      <c r="AF58" t="e">
        <f>AND(#REF!,"AAAAADc//x8=")</f>
        <v>#REF!</v>
      </c>
      <c r="AG58" t="e">
        <f>AND(#REF!,"AAAAADc//yA=")</f>
        <v>#REF!</v>
      </c>
      <c r="AH58" t="e">
        <f>AND(#REF!,"AAAAADc//yE=")</f>
        <v>#REF!</v>
      </c>
      <c r="AI58" t="e">
        <f>AND(#REF!,"AAAAADc//yI=")</f>
        <v>#REF!</v>
      </c>
      <c r="AJ58" t="e">
        <f>AND(#REF!,"AAAAADc//yM=")</f>
        <v>#REF!</v>
      </c>
      <c r="AK58" t="e">
        <f>AND(#REF!,"AAAAADc//yQ=")</f>
        <v>#REF!</v>
      </c>
      <c r="AL58" t="e">
        <f>AND(#REF!,"AAAAADc//yU=")</f>
        <v>#REF!</v>
      </c>
      <c r="AM58" t="e">
        <f>AND(#REF!,"AAAAADc//yY=")</f>
        <v>#REF!</v>
      </c>
      <c r="AN58" t="e">
        <f>AND(#REF!,"AAAAADc//yc=")</f>
        <v>#REF!</v>
      </c>
      <c r="AO58" t="e">
        <f>AND(#REF!,"AAAAADc//yg=")</f>
        <v>#REF!</v>
      </c>
      <c r="AP58" t="e">
        <f>AND(#REF!,"AAAAADc//yk=")</f>
        <v>#REF!</v>
      </c>
      <c r="AQ58" t="e">
        <f>AND(#REF!,"AAAAADc//yo=")</f>
        <v>#REF!</v>
      </c>
      <c r="AR58" t="e">
        <f>AND(#REF!,"AAAAADc//ys=")</f>
        <v>#REF!</v>
      </c>
      <c r="AS58" t="e">
        <f>AND(#REF!,"AAAAADc//yw=")</f>
        <v>#REF!</v>
      </c>
      <c r="AT58" t="e">
        <f>AND(#REF!,"AAAAADc//y0=")</f>
        <v>#REF!</v>
      </c>
      <c r="AU58" t="e">
        <f>AND(#REF!,"AAAAADc//y4=")</f>
        <v>#REF!</v>
      </c>
      <c r="AV58" t="e">
        <f>AND(#REF!,"AAAAADc//y8=")</f>
        <v>#REF!</v>
      </c>
      <c r="AW58" t="e">
        <f>AND(#REF!,"AAAAADc//zA=")</f>
        <v>#REF!</v>
      </c>
      <c r="AX58" t="e">
        <f>AND(#REF!,"AAAAADc//zE=")</f>
        <v>#REF!</v>
      </c>
      <c r="AY58" t="e">
        <f>AND(#REF!,"AAAAADc//zI=")</f>
        <v>#REF!</v>
      </c>
      <c r="AZ58" t="e">
        <f>AND(#REF!,"AAAAADc//zM=")</f>
        <v>#REF!</v>
      </c>
      <c r="BA58" t="e">
        <f>AND(#REF!,"AAAAADc//zQ=")</f>
        <v>#REF!</v>
      </c>
      <c r="BB58" t="e">
        <f>AND(#REF!,"AAAAADc//zU=")</f>
        <v>#REF!</v>
      </c>
      <c r="BC58" t="e">
        <f>AND(#REF!,"AAAAADc//zY=")</f>
        <v>#REF!</v>
      </c>
      <c r="BD58" t="e">
        <f>AND(#REF!,"AAAAADc//zc=")</f>
        <v>#REF!</v>
      </c>
      <c r="BE58" t="e">
        <f>AND(#REF!,"AAAAADc//zg=")</f>
        <v>#REF!</v>
      </c>
      <c r="BF58" t="e">
        <f>AND(#REF!,"AAAAADc//zk=")</f>
        <v>#REF!</v>
      </c>
      <c r="BG58" t="e">
        <f>AND(#REF!,"AAAAADc//zo=")</f>
        <v>#REF!</v>
      </c>
      <c r="BH58" t="e">
        <f>AND(#REF!,"AAAAADc//zs=")</f>
        <v>#REF!</v>
      </c>
      <c r="BI58" t="e">
        <f>AND(#REF!,"AAAAADc//zw=")</f>
        <v>#REF!</v>
      </c>
      <c r="BJ58" t="e">
        <f>AND(#REF!,"AAAAADc//z0=")</f>
        <v>#REF!</v>
      </c>
      <c r="BK58" t="e">
        <f>AND(#REF!,"AAAAADc//z4=")</f>
        <v>#REF!</v>
      </c>
      <c r="BL58" t="e">
        <f>AND(#REF!,"AAAAADc//z8=")</f>
        <v>#REF!</v>
      </c>
      <c r="BM58" t="e">
        <f>AND(#REF!,"AAAAADc//0A=")</f>
        <v>#REF!</v>
      </c>
      <c r="BN58" t="e">
        <f>AND(#REF!,"AAAAADc//0E=")</f>
        <v>#REF!</v>
      </c>
      <c r="BO58" t="e">
        <f>AND(#REF!,"AAAAADc//0I=")</f>
        <v>#REF!</v>
      </c>
      <c r="BP58" t="e">
        <f>AND(#REF!,"AAAAADc//0M=")</f>
        <v>#REF!</v>
      </c>
      <c r="BQ58" t="e">
        <f>AND(#REF!,"AAAAADc//0Q=")</f>
        <v>#REF!</v>
      </c>
      <c r="BR58" t="e">
        <f>AND(#REF!,"AAAAADc//0U=")</f>
        <v>#REF!</v>
      </c>
      <c r="BS58" t="e">
        <f>AND(#REF!,"AAAAADc//0Y=")</f>
        <v>#REF!</v>
      </c>
      <c r="BT58" t="e">
        <f>AND(#REF!,"AAAAADc//0c=")</f>
        <v>#REF!</v>
      </c>
      <c r="BU58" t="e">
        <f>IF(#REF!,"AAAAADc//0g=",0)</f>
        <v>#REF!</v>
      </c>
      <c r="BV58" t="e">
        <f>AND(#REF!,"AAAAADc//0k=")</f>
        <v>#REF!</v>
      </c>
      <c r="BW58" t="e">
        <f>AND(#REF!,"AAAAADc//0o=")</f>
        <v>#REF!</v>
      </c>
      <c r="BX58" t="e">
        <f>AND(#REF!,"AAAAADc//0s=")</f>
        <v>#REF!</v>
      </c>
      <c r="BY58" t="e">
        <f>AND(#REF!,"AAAAADc//0w=")</f>
        <v>#REF!</v>
      </c>
      <c r="BZ58" t="e">
        <f>AND(#REF!,"AAAAADc//00=")</f>
        <v>#REF!</v>
      </c>
      <c r="CA58" t="e">
        <f>AND(#REF!,"AAAAADc//04=")</f>
        <v>#REF!</v>
      </c>
      <c r="CB58" t="e">
        <f>AND(#REF!,"AAAAADc//08=")</f>
        <v>#REF!</v>
      </c>
      <c r="CC58" t="e">
        <f>AND(#REF!,"AAAAADc//1A=")</f>
        <v>#REF!</v>
      </c>
      <c r="CD58" t="e">
        <f>AND(#REF!,"AAAAADc//1E=")</f>
        <v>#REF!</v>
      </c>
      <c r="CE58" t="e">
        <f>AND(#REF!,"AAAAADc//1I=")</f>
        <v>#REF!</v>
      </c>
      <c r="CF58" t="e">
        <f>AND(#REF!,"AAAAADc//1M=")</f>
        <v>#REF!</v>
      </c>
      <c r="CG58" t="e">
        <f>AND(#REF!,"AAAAADc//1Q=")</f>
        <v>#REF!</v>
      </c>
      <c r="CH58" t="e">
        <f>AND(#REF!,"AAAAADc//1U=")</f>
        <v>#REF!</v>
      </c>
      <c r="CI58" t="e">
        <f>AND(#REF!,"AAAAADc//1Y=")</f>
        <v>#REF!</v>
      </c>
      <c r="CJ58" t="e">
        <f>AND(#REF!,"AAAAADc//1c=")</f>
        <v>#REF!</v>
      </c>
      <c r="CK58" t="e">
        <f>AND(#REF!,"AAAAADc//1g=")</f>
        <v>#REF!</v>
      </c>
      <c r="CL58" t="e">
        <f>AND(#REF!,"AAAAADc//1k=")</f>
        <v>#REF!</v>
      </c>
      <c r="CM58" t="e">
        <f>AND(#REF!,"AAAAADc//1o=")</f>
        <v>#REF!</v>
      </c>
      <c r="CN58" t="e">
        <f>AND(#REF!,"AAAAADc//1s=")</f>
        <v>#REF!</v>
      </c>
      <c r="CO58" t="e">
        <f>AND(#REF!,"AAAAADc//1w=")</f>
        <v>#REF!</v>
      </c>
      <c r="CP58" t="e">
        <f>AND(#REF!,"AAAAADc//10=")</f>
        <v>#REF!</v>
      </c>
      <c r="CQ58" t="e">
        <f>AND(#REF!,"AAAAADc//14=")</f>
        <v>#REF!</v>
      </c>
      <c r="CR58" t="e">
        <f>AND(#REF!,"AAAAADc//18=")</f>
        <v>#REF!</v>
      </c>
      <c r="CS58" t="e">
        <f>AND(#REF!,"AAAAADc//2A=")</f>
        <v>#REF!</v>
      </c>
      <c r="CT58" t="e">
        <f>AND(#REF!,"AAAAADc//2E=")</f>
        <v>#REF!</v>
      </c>
      <c r="CU58" t="e">
        <f>AND(#REF!,"AAAAADc//2I=")</f>
        <v>#REF!</v>
      </c>
      <c r="CV58" t="e">
        <f>AND(#REF!,"AAAAADc//2M=")</f>
        <v>#REF!</v>
      </c>
      <c r="CW58" t="e">
        <f>AND(#REF!,"AAAAADc//2Q=")</f>
        <v>#REF!</v>
      </c>
      <c r="CX58" t="e">
        <f>AND(#REF!,"AAAAADc//2U=")</f>
        <v>#REF!</v>
      </c>
      <c r="CY58" t="e">
        <f>AND(#REF!,"AAAAADc//2Y=")</f>
        <v>#REF!</v>
      </c>
      <c r="CZ58" t="e">
        <f>AND(#REF!,"AAAAADc//2c=")</f>
        <v>#REF!</v>
      </c>
      <c r="DA58" t="e">
        <f>AND(#REF!,"AAAAADc//2g=")</f>
        <v>#REF!</v>
      </c>
      <c r="DB58" t="e">
        <f>AND(#REF!,"AAAAADc//2k=")</f>
        <v>#REF!</v>
      </c>
      <c r="DC58" t="e">
        <f>AND(#REF!,"AAAAADc//2o=")</f>
        <v>#REF!</v>
      </c>
      <c r="DD58" t="e">
        <f>AND(#REF!,"AAAAADc//2s=")</f>
        <v>#REF!</v>
      </c>
      <c r="DE58" t="e">
        <f>AND(#REF!,"AAAAADc//2w=")</f>
        <v>#REF!</v>
      </c>
      <c r="DF58" t="e">
        <f>AND(#REF!,"AAAAADc//20=")</f>
        <v>#REF!</v>
      </c>
      <c r="DG58" t="e">
        <f>AND(#REF!,"AAAAADc//24=")</f>
        <v>#REF!</v>
      </c>
      <c r="DH58" t="e">
        <f>AND(#REF!,"AAAAADc//28=")</f>
        <v>#REF!</v>
      </c>
      <c r="DI58" t="e">
        <f>AND(#REF!,"AAAAADc//3A=")</f>
        <v>#REF!</v>
      </c>
      <c r="DJ58" t="e">
        <f>AND(#REF!,"AAAAADc//3E=")</f>
        <v>#REF!</v>
      </c>
      <c r="DK58" t="e">
        <f>AND(#REF!,"AAAAADc//3I=")</f>
        <v>#REF!</v>
      </c>
      <c r="DL58" t="e">
        <f>AND(#REF!,"AAAAADc//3M=")</f>
        <v>#REF!</v>
      </c>
      <c r="DM58" t="e">
        <f>AND(#REF!,"AAAAADc//3Q=")</f>
        <v>#REF!</v>
      </c>
      <c r="DN58" t="e">
        <f>AND(#REF!,"AAAAADc//3U=")</f>
        <v>#REF!</v>
      </c>
      <c r="DO58" t="e">
        <f>AND(#REF!,"AAAAADc//3Y=")</f>
        <v>#REF!</v>
      </c>
      <c r="DP58" t="e">
        <f>AND(#REF!,"AAAAADc//3c=")</f>
        <v>#REF!</v>
      </c>
      <c r="DQ58" t="e">
        <f>AND(#REF!,"AAAAADc//3g=")</f>
        <v>#REF!</v>
      </c>
      <c r="DR58" t="e">
        <f>AND(#REF!,"AAAAADc//3k=")</f>
        <v>#REF!</v>
      </c>
      <c r="DS58" t="e">
        <f>AND(#REF!,"AAAAADc//3o=")</f>
        <v>#REF!</v>
      </c>
      <c r="DT58" t="e">
        <f>AND(#REF!,"AAAAADc//3s=")</f>
        <v>#REF!</v>
      </c>
      <c r="DU58" t="e">
        <f>AND(#REF!,"AAAAADc//3w=")</f>
        <v>#REF!</v>
      </c>
      <c r="DV58" t="e">
        <f>AND(#REF!,"AAAAADc//30=")</f>
        <v>#REF!</v>
      </c>
      <c r="DW58" t="e">
        <f>AND(#REF!,"AAAAADc//34=")</f>
        <v>#REF!</v>
      </c>
      <c r="DX58" t="e">
        <f>IF(#REF!,"AAAAADc//38=",0)</f>
        <v>#REF!</v>
      </c>
      <c r="DY58" t="e">
        <f>AND(#REF!,"AAAAADc//4A=")</f>
        <v>#REF!</v>
      </c>
      <c r="DZ58" t="e">
        <f>AND(#REF!,"AAAAADc//4E=")</f>
        <v>#REF!</v>
      </c>
      <c r="EA58" t="e">
        <f>AND(#REF!,"AAAAADc//4I=")</f>
        <v>#REF!</v>
      </c>
      <c r="EB58" t="e">
        <f>AND(#REF!,"AAAAADc//4M=")</f>
        <v>#REF!</v>
      </c>
      <c r="EC58" t="e">
        <f>AND(#REF!,"AAAAADc//4Q=")</f>
        <v>#REF!</v>
      </c>
      <c r="ED58" t="e">
        <f>AND(#REF!,"AAAAADc//4U=")</f>
        <v>#REF!</v>
      </c>
      <c r="EE58" t="e">
        <f>AND(#REF!,"AAAAADc//4Y=")</f>
        <v>#REF!</v>
      </c>
      <c r="EF58" t="e">
        <f>AND(#REF!,"AAAAADc//4c=")</f>
        <v>#REF!</v>
      </c>
      <c r="EG58" t="e">
        <f>AND(#REF!,"AAAAADc//4g=")</f>
        <v>#REF!</v>
      </c>
      <c r="EH58" t="e">
        <f>AND(#REF!,"AAAAADc//4k=")</f>
        <v>#REF!</v>
      </c>
      <c r="EI58" t="e">
        <f>AND(#REF!,"AAAAADc//4o=")</f>
        <v>#REF!</v>
      </c>
      <c r="EJ58" t="e">
        <f>AND(#REF!,"AAAAADc//4s=")</f>
        <v>#REF!</v>
      </c>
      <c r="EK58" t="e">
        <f>AND(#REF!,"AAAAADc//4w=")</f>
        <v>#REF!</v>
      </c>
      <c r="EL58" t="e">
        <f>AND(#REF!,"AAAAADc//40=")</f>
        <v>#REF!</v>
      </c>
      <c r="EM58" t="e">
        <f>AND(#REF!,"AAAAADc//44=")</f>
        <v>#REF!</v>
      </c>
      <c r="EN58" t="e">
        <f>AND(#REF!,"AAAAADc//48=")</f>
        <v>#REF!</v>
      </c>
      <c r="EO58" t="e">
        <f>AND(#REF!,"AAAAADc//5A=")</f>
        <v>#REF!</v>
      </c>
      <c r="EP58" t="e">
        <f>AND(#REF!,"AAAAADc//5E=")</f>
        <v>#REF!</v>
      </c>
      <c r="EQ58" t="e">
        <f>AND(#REF!,"AAAAADc//5I=")</f>
        <v>#REF!</v>
      </c>
      <c r="ER58" t="e">
        <f>AND(#REF!,"AAAAADc//5M=")</f>
        <v>#REF!</v>
      </c>
      <c r="ES58" t="e">
        <f>AND(#REF!,"AAAAADc//5Q=")</f>
        <v>#REF!</v>
      </c>
      <c r="ET58" t="e">
        <f>AND(#REF!,"AAAAADc//5U=")</f>
        <v>#REF!</v>
      </c>
      <c r="EU58" t="e">
        <f>AND(#REF!,"AAAAADc//5Y=")</f>
        <v>#REF!</v>
      </c>
      <c r="EV58" t="e">
        <f>AND(#REF!,"AAAAADc//5c=")</f>
        <v>#REF!</v>
      </c>
      <c r="EW58" t="e">
        <f>AND(#REF!,"AAAAADc//5g=")</f>
        <v>#REF!</v>
      </c>
      <c r="EX58" t="e">
        <f>AND(#REF!,"AAAAADc//5k=")</f>
        <v>#REF!</v>
      </c>
      <c r="EY58" t="e">
        <f>AND(#REF!,"AAAAADc//5o=")</f>
        <v>#REF!</v>
      </c>
      <c r="EZ58" t="e">
        <f>AND(#REF!,"AAAAADc//5s=")</f>
        <v>#REF!</v>
      </c>
      <c r="FA58" t="e">
        <f>AND(#REF!,"AAAAADc//5w=")</f>
        <v>#REF!</v>
      </c>
      <c r="FB58" t="e">
        <f>AND(#REF!,"AAAAADc//50=")</f>
        <v>#REF!</v>
      </c>
      <c r="FC58" t="e">
        <f>AND(#REF!,"AAAAADc//54=")</f>
        <v>#REF!</v>
      </c>
      <c r="FD58" t="e">
        <f>AND(#REF!,"AAAAADc//58=")</f>
        <v>#REF!</v>
      </c>
      <c r="FE58" t="e">
        <f>AND(#REF!,"AAAAADc//6A=")</f>
        <v>#REF!</v>
      </c>
      <c r="FF58" t="e">
        <f>AND(#REF!,"AAAAADc//6E=")</f>
        <v>#REF!</v>
      </c>
      <c r="FG58" t="e">
        <f>AND(#REF!,"AAAAADc//6I=")</f>
        <v>#REF!</v>
      </c>
      <c r="FH58" t="e">
        <f>AND(#REF!,"AAAAADc//6M=")</f>
        <v>#REF!</v>
      </c>
      <c r="FI58" t="e">
        <f>AND(#REF!,"AAAAADc//6Q=")</f>
        <v>#REF!</v>
      </c>
      <c r="FJ58" t="e">
        <f>AND(#REF!,"AAAAADc//6U=")</f>
        <v>#REF!</v>
      </c>
      <c r="FK58" t="e">
        <f>AND(#REF!,"AAAAADc//6Y=")</f>
        <v>#REF!</v>
      </c>
      <c r="FL58" t="e">
        <f>AND(#REF!,"AAAAADc//6c=")</f>
        <v>#REF!</v>
      </c>
      <c r="FM58" t="e">
        <f>AND(#REF!,"AAAAADc//6g=")</f>
        <v>#REF!</v>
      </c>
      <c r="FN58" t="e">
        <f>AND(#REF!,"AAAAADc//6k=")</f>
        <v>#REF!</v>
      </c>
      <c r="FO58" t="e">
        <f>AND(#REF!,"AAAAADc//6o=")</f>
        <v>#REF!</v>
      </c>
      <c r="FP58" t="e">
        <f>AND(#REF!,"AAAAADc//6s=")</f>
        <v>#REF!</v>
      </c>
      <c r="FQ58" t="e">
        <f>AND(#REF!,"AAAAADc//6w=")</f>
        <v>#REF!</v>
      </c>
      <c r="FR58" t="e">
        <f>AND(#REF!,"AAAAADc//60=")</f>
        <v>#REF!</v>
      </c>
      <c r="FS58" t="e">
        <f>AND(#REF!,"AAAAADc//64=")</f>
        <v>#REF!</v>
      </c>
      <c r="FT58" t="e">
        <f>AND(#REF!,"AAAAADc//68=")</f>
        <v>#REF!</v>
      </c>
      <c r="FU58" t="e">
        <f>AND(#REF!,"AAAAADc//7A=")</f>
        <v>#REF!</v>
      </c>
      <c r="FV58" t="e">
        <f>AND(#REF!,"AAAAADc//7E=")</f>
        <v>#REF!</v>
      </c>
      <c r="FW58" t="e">
        <f>AND(#REF!,"AAAAADc//7I=")</f>
        <v>#REF!</v>
      </c>
      <c r="FX58" t="e">
        <f>AND(#REF!,"AAAAADc//7M=")</f>
        <v>#REF!</v>
      </c>
      <c r="FY58" t="e">
        <f>AND(#REF!,"AAAAADc//7Q=")</f>
        <v>#REF!</v>
      </c>
      <c r="FZ58" t="e">
        <f>AND(#REF!,"AAAAADc//7U=")</f>
        <v>#REF!</v>
      </c>
      <c r="GA58" t="e">
        <f>IF(#REF!,"AAAAADc//7Y=",0)</f>
        <v>#REF!</v>
      </c>
      <c r="GB58" t="e">
        <f>AND(#REF!,"AAAAADc//7c=")</f>
        <v>#REF!</v>
      </c>
      <c r="GC58" t="e">
        <f>AND(#REF!,"AAAAADc//7g=")</f>
        <v>#REF!</v>
      </c>
      <c r="GD58" t="e">
        <f>AND(#REF!,"AAAAADc//7k=")</f>
        <v>#REF!</v>
      </c>
      <c r="GE58" t="e">
        <f>AND(#REF!,"AAAAADc//7o=")</f>
        <v>#REF!</v>
      </c>
      <c r="GF58" t="e">
        <f>AND(#REF!,"AAAAADc//7s=")</f>
        <v>#REF!</v>
      </c>
      <c r="GG58" t="e">
        <f>AND(#REF!,"AAAAADc//7w=")</f>
        <v>#REF!</v>
      </c>
      <c r="GH58" t="e">
        <f>AND(#REF!,"AAAAADc//70=")</f>
        <v>#REF!</v>
      </c>
      <c r="GI58" t="e">
        <f>AND(#REF!,"AAAAADc//74=")</f>
        <v>#REF!</v>
      </c>
      <c r="GJ58" t="e">
        <f>AND(#REF!,"AAAAADc//78=")</f>
        <v>#REF!</v>
      </c>
      <c r="GK58" t="e">
        <f>AND(#REF!,"AAAAADc//8A=")</f>
        <v>#REF!</v>
      </c>
      <c r="GL58" t="e">
        <f>AND(#REF!,"AAAAADc//8E=")</f>
        <v>#REF!</v>
      </c>
      <c r="GM58" t="e">
        <f>AND(#REF!,"AAAAADc//8I=")</f>
        <v>#REF!</v>
      </c>
      <c r="GN58" t="e">
        <f>AND(#REF!,"AAAAADc//8M=")</f>
        <v>#REF!</v>
      </c>
      <c r="GO58" t="e">
        <f>AND(#REF!,"AAAAADc//8Q=")</f>
        <v>#REF!</v>
      </c>
      <c r="GP58" t="e">
        <f>AND(#REF!,"AAAAADc//8U=")</f>
        <v>#REF!</v>
      </c>
      <c r="GQ58" t="e">
        <f>AND(#REF!,"AAAAADc//8Y=")</f>
        <v>#REF!</v>
      </c>
      <c r="GR58" t="e">
        <f>AND(#REF!,"AAAAADc//8c=")</f>
        <v>#REF!</v>
      </c>
      <c r="GS58" t="e">
        <f>AND(#REF!,"AAAAADc//8g=")</f>
        <v>#REF!</v>
      </c>
      <c r="GT58" t="e">
        <f>AND(#REF!,"AAAAADc//8k=")</f>
        <v>#REF!</v>
      </c>
      <c r="GU58" t="e">
        <f>AND(#REF!,"AAAAADc//8o=")</f>
        <v>#REF!</v>
      </c>
      <c r="GV58" t="e">
        <f>AND(#REF!,"AAAAADc//8s=")</f>
        <v>#REF!</v>
      </c>
      <c r="GW58" t="e">
        <f>AND(#REF!,"AAAAADc//8w=")</f>
        <v>#REF!</v>
      </c>
      <c r="GX58" t="e">
        <f>AND(#REF!,"AAAAADc//80=")</f>
        <v>#REF!</v>
      </c>
      <c r="GY58" t="e">
        <f>AND(#REF!,"AAAAADc//84=")</f>
        <v>#REF!</v>
      </c>
      <c r="GZ58" t="e">
        <f>AND(#REF!,"AAAAADc//88=")</f>
        <v>#REF!</v>
      </c>
      <c r="HA58" t="e">
        <f>AND(#REF!,"AAAAADc//9A=")</f>
        <v>#REF!</v>
      </c>
      <c r="HB58" t="e">
        <f>AND(#REF!,"AAAAADc//9E=")</f>
        <v>#REF!</v>
      </c>
      <c r="HC58" t="e">
        <f>AND(#REF!,"AAAAADc//9I=")</f>
        <v>#REF!</v>
      </c>
      <c r="HD58" t="e">
        <f>AND(#REF!,"AAAAADc//9M=")</f>
        <v>#REF!</v>
      </c>
      <c r="HE58" t="e">
        <f>AND(#REF!,"AAAAADc//9Q=")</f>
        <v>#REF!</v>
      </c>
      <c r="HF58" t="e">
        <f>AND(#REF!,"AAAAADc//9U=")</f>
        <v>#REF!</v>
      </c>
      <c r="HG58" t="e">
        <f>AND(#REF!,"AAAAADc//9Y=")</f>
        <v>#REF!</v>
      </c>
      <c r="HH58" t="e">
        <f>AND(#REF!,"AAAAADc//9c=")</f>
        <v>#REF!</v>
      </c>
      <c r="HI58" t="e">
        <f>AND(#REF!,"AAAAADc//9g=")</f>
        <v>#REF!</v>
      </c>
      <c r="HJ58" t="e">
        <f>AND(#REF!,"AAAAADc//9k=")</f>
        <v>#REF!</v>
      </c>
      <c r="HK58" t="e">
        <f>AND(#REF!,"AAAAADc//9o=")</f>
        <v>#REF!</v>
      </c>
      <c r="HL58" t="e">
        <f>AND(#REF!,"AAAAADc//9s=")</f>
        <v>#REF!</v>
      </c>
      <c r="HM58" t="e">
        <f>AND(#REF!,"AAAAADc//9w=")</f>
        <v>#REF!</v>
      </c>
      <c r="HN58" t="e">
        <f>AND(#REF!,"AAAAADc//90=")</f>
        <v>#REF!</v>
      </c>
      <c r="HO58" t="e">
        <f>AND(#REF!,"AAAAADc//94=")</f>
        <v>#REF!</v>
      </c>
      <c r="HP58" t="e">
        <f>AND(#REF!,"AAAAADc//98=")</f>
        <v>#REF!</v>
      </c>
      <c r="HQ58" t="e">
        <f>AND(#REF!,"AAAAADc//+A=")</f>
        <v>#REF!</v>
      </c>
      <c r="HR58" t="e">
        <f>AND(#REF!,"AAAAADc//+E=")</f>
        <v>#REF!</v>
      </c>
      <c r="HS58" t="e">
        <f>AND(#REF!,"AAAAADc//+I=")</f>
        <v>#REF!</v>
      </c>
      <c r="HT58" t="e">
        <f>AND(#REF!,"AAAAADc//+M=")</f>
        <v>#REF!</v>
      </c>
      <c r="HU58" t="e">
        <f>AND(#REF!,"AAAAADc//+Q=")</f>
        <v>#REF!</v>
      </c>
      <c r="HV58" t="e">
        <f>AND(#REF!,"AAAAADc//+U=")</f>
        <v>#REF!</v>
      </c>
      <c r="HW58" t="e">
        <f>AND(#REF!,"AAAAADc//+Y=")</f>
        <v>#REF!</v>
      </c>
      <c r="HX58" t="e">
        <f>AND(#REF!,"AAAAADc//+c=")</f>
        <v>#REF!</v>
      </c>
      <c r="HY58" t="e">
        <f>AND(#REF!,"AAAAADc//+g=")</f>
        <v>#REF!</v>
      </c>
      <c r="HZ58" t="e">
        <f>AND(#REF!,"AAAAADc//+k=")</f>
        <v>#REF!</v>
      </c>
      <c r="IA58" t="e">
        <f>AND(#REF!,"AAAAADc//+o=")</f>
        <v>#REF!</v>
      </c>
      <c r="IB58" t="e">
        <f>AND(#REF!,"AAAAADc//+s=")</f>
        <v>#REF!</v>
      </c>
      <c r="IC58" t="e">
        <f>AND(#REF!,"AAAAADc//+w=")</f>
        <v>#REF!</v>
      </c>
      <c r="ID58" t="e">
        <f>IF(#REF!,"AAAAADc//+0=",0)</f>
        <v>#REF!</v>
      </c>
      <c r="IE58" t="e">
        <f>AND(#REF!,"AAAAADc//+4=")</f>
        <v>#REF!</v>
      </c>
      <c r="IF58" t="e">
        <f>AND(#REF!,"AAAAADc//+8=")</f>
        <v>#REF!</v>
      </c>
      <c r="IG58" t="e">
        <f>AND(#REF!,"AAAAADc///A=")</f>
        <v>#REF!</v>
      </c>
      <c r="IH58" t="e">
        <f>AND(#REF!,"AAAAADc///E=")</f>
        <v>#REF!</v>
      </c>
      <c r="II58" t="e">
        <f>AND(#REF!,"AAAAADc///I=")</f>
        <v>#REF!</v>
      </c>
      <c r="IJ58" t="e">
        <f>AND(#REF!,"AAAAADc///M=")</f>
        <v>#REF!</v>
      </c>
      <c r="IK58" t="e">
        <f>AND(#REF!,"AAAAADc///Q=")</f>
        <v>#REF!</v>
      </c>
      <c r="IL58" t="e">
        <f>AND(#REF!,"AAAAADc///U=")</f>
        <v>#REF!</v>
      </c>
      <c r="IM58" t="e">
        <f>AND(#REF!,"AAAAADc///Y=")</f>
        <v>#REF!</v>
      </c>
      <c r="IN58" t="e">
        <f>AND(#REF!,"AAAAADc///c=")</f>
        <v>#REF!</v>
      </c>
      <c r="IO58" t="e">
        <f>AND(#REF!,"AAAAADc///g=")</f>
        <v>#REF!</v>
      </c>
      <c r="IP58" t="e">
        <f>AND(#REF!,"AAAAADc///k=")</f>
        <v>#REF!</v>
      </c>
      <c r="IQ58" t="e">
        <f>AND(#REF!,"AAAAADc///o=")</f>
        <v>#REF!</v>
      </c>
      <c r="IR58" t="e">
        <f>AND(#REF!,"AAAAADc///s=")</f>
        <v>#REF!</v>
      </c>
      <c r="IS58" t="e">
        <f>AND(#REF!,"AAAAADc///w=")</f>
        <v>#REF!</v>
      </c>
      <c r="IT58" t="e">
        <f>AND(#REF!,"AAAAADc///0=")</f>
        <v>#REF!</v>
      </c>
      <c r="IU58" t="e">
        <f>AND(#REF!,"AAAAADc///4=")</f>
        <v>#REF!</v>
      </c>
      <c r="IV58" t="e">
        <f>AND(#REF!,"AAAAADc///8=")</f>
        <v>#REF!</v>
      </c>
    </row>
    <row r="59" spans="1:256" x14ac:dyDescent="0.25">
      <c r="A59" t="e">
        <f>AND(#REF!,"AAAAAFr97wA=")</f>
        <v>#REF!</v>
      </c>
      <c r="B59" t="e">
        <f>AND(#REF!,"AAAAAFr97wE=")</f>
        <v>#REF!</v>
      </c>
      <c r="C59" t="e">
        <f>AND(#REF!,"AAAAAFr97wI=")</f>
        <v>#REF!</v>
      </c>
      <c r="D59" t="e">
        <f>AND(#REF!,"AAAAAFr97wM=")</f>
        <v>#REF!</v>
      </c>
      <c r="E59" t="e">
        <f>AND(#REF!,"AAAAAFr97wQ=")</f>
        <v>#REF!</v>
      </c>
      <c r="F59" t="e">
        <f>AND(#REF!,"AAAAAFr97wU=")</f>
        <v>#REF!</v>
      </c>
      <c r="G59" t="e">
        <f>AND(#REF!,"AAAAAFr97wY=")</f>
        <v>#REF!</v>
      </c>
      <c r="H59" t="e">
        <f>AND(#REF!,"AAAAAFr97wc=")</f>
        <v>#REF!</v>
      </c>
      <c r="I59" t="e">
        <f>AND(#REF!,"AAAAAFr97wg=")</f>
        <v>#REF!</v>
      </c>
      <c r="J59" t="e">
        <f>AND(#REF!,"AAAAAFr97wk=")</f>
        <v>#REF!</v>
      </c>
      <c r="K59" t="e">
        <f>AND(#REF!,"AAAAAFr97wo=")</f>
        <v>#REF!</v>
      </c>
      <c r="L59" t="e">
        <f>AND(#REF!,"AAAAAFr97ws=")</f>
        <v>#REF!</v>
      </c>
      <c r="M59" t="e">
        <f>AND(#REF!,"AAAAAFr97ww=")</f>
        <v>#REF!</v>
      </c>
      <c r="N59" t="e">
        <f>AND(#REF!,"AAAAAFr97w0=")</f>
        <v>#REF!</v>
      </c>
      <c r="O59" t="e">
        <f>AND(#REF!,"AAAAAFr97w4=")</f>
        <v>#REF!</v>
      </c>
      <c r="P59" t="e">
        <f>AND(#REF!,"AAAAAFr97w8=")</f>
        <v>#REF!</v>
      </c>
      <c r="Q59" t="e">
        <f>AND(#REF!,"AAAAAFr97xA=")</f>
        <v>#REF!</v>
      </c>
      <c r="R59" t="e">
        <f>AND(#REF!,"AAAAAFr97xE=")</f>
        <v>#REF!</v>
      </c>
      <c r="S59" t="e">
        <f>AND(#REF!,"AAAAAFr97xI=")</f>
        <v>#REF!</v>
      </c>
      <c r="T59" t="e">
        <f>AND(#REF!,"AAAAAFr97xM=")</f>
        <v>#REF!</v>
      </c>
      <c r="U59" t="e">
        <f>AND(#REF!,"AAAAAFr97xQ=")</f>
        <v>#REF!</v>
      </c>
      <c r="V59" t="e">
        <f>AND(#REF!,"AAAAAFr97xU=")</f>
        <v>#REF!</v>
      </c>
      <c r="W59" t="e">
        <f>AND(#REF!,"AAAAAFr97xY=")</f>
        <v>#REF!</v>
      </c>
      <c r="X59" t="e">
        <f>AND(#REF!,"AAAAAFr97xc=")</f>
        <v>#REF!</v>
      </c>
      <c r="Y59" t="e">
        <f>AND(#REF!,"AAAAAFr97xg=")</f>
        <v>#REF!</v>
      </c>
      <c r="Z59" t="e">
        <f>AND(#REF!,"AAAAAFr97xk=")</f>
        <v>#REF!</v>
      </c>
      <c r="AA59" t="e">
        <f>AND(#REF!,"AAAAAFr97xo=")</f>
        <v>#REF!</v>
      </c>
      <c r="AB59" t="e">
        <f>AND(#REF!,"AAAAAFr97xs=")</f>
        <v>#REF!</v>
      </c>
      <c r="AC59" t="e">
        <f>AND(#REF!,"AAAAAFr97xw=")</f>
        <v>#REF!</v>
      </c>
      <c r="AD59" t="e">
        <f>AND(#REF!,"AAAAAFr97x0=")</f>
        <v>#REF!</v>
      </c>
      <c r="AE59" t="e">
        <f>AND(#REF!,"AAAAAFr97x4=")</f>
        <v>#REF!</v>
      </c>
      <c r="AF59" t="e">
        <f>AND(#REF!,"AAAAAFr97x8=")</f>
        <v>#REF!</v>
      </c>
      <c r="AG59" t="e">
        <f>AND(#REF!,"AAAAAFr97yA=")</f>
        <v>#REF!</v>
      </c>
      <c r="AH59" t="e">
        <f>AND(#REF!,"AAAAAFr97yE=")</f>
        <v>#REF!</v>
      </c>
      <c r="AI59" t="e">
        <f>AND(#REF!,"AAAAAFr97yI=")</f>
        <v>#REF!</v>
      </c>
      <c r="AJ59" t="e">
        <f>AND(#REF!,"AAAAAFr97yM=")</f>
        <v>#REF!</v>
      </c>
      <c r="AK59" t="e">
        <f>IF(#REF!,"AAAAAFr97yQ=",0)</f>
        <v>#REF!</v>
      </c>
      <c r="AL59" t="e">
        <f>AND(#REF!,"AAAAAFr97yU=")</f>
        <v>#REF!</v>
      </c>
      <c r="AM59" t="e">
        <f>AND(#REF!,"AAAAAFr97yY=")</f>
        <v>#REF!</v>
      </c>
      <c r="AN59" t="e">
        <f>AND(#REF!,"AAAAAFr97yc=")</f>
        <v>#REF!</v>
      </c>
      <c r="AO59" t="e">
        <f>AND(#REF!,"AAAAAFr97yg=")</f>
        <v>#REF!</v>
      </c>
      <c r="AP59" t="e">
        <f>AND(#REF!,"AAAAAFr97yk=")</f>
        <v>#REF!</v>
      </c>
      <c r="AQ59" t="e">
        <f>AND(#REF!,"AAAAAFr97yo=")</f>
        <v>#REF!</v>
      </c>
      <c r="AR59" t="e">
        <f>AND(#REF!,"AAAAAFr97ys=")</f>
        <v>#REF!</v>
      </c>
      <c r="AS59" t="e">
        <f>AND(#REF!,"AAAAAFr97yw=")</f>
        <v>#REF!</v>
      </c>
      <c r="AT59" t="e">
        <f>AND(#REF!,"AAAAAFr97y0=")</f>
        <v>#REF!</v>
      </c>
      <c r="AU59" t="e">
        <f>AND(#REF!,"AAAAAFr97y4=")</f>
        <v>#REF!</v>
      </c>
      <c r="AV59" t="e">
        <f>AND(#REF!,"AAAAAFr97y8=")</f>
        <v>#REF!</v>
      </c>
      <c r="AW59" t="e">
        <f>AND(#REF!,"AAAAAFr97zA=")</f>
        <v>#REF!</v>
      </c>
      <c r="AX59" t="e">
        <f>AND(#REF!,"AAAAAFr97zE=")</f>
        <v>#REF!</v>
      </c>
      <c r="AY59" t="e">
        <f>AND(#REF!,"AAAAAFr97zI=")</f>
        <v>#REF!</v>
      </c>
      <c r="AZ59" t="e">
        <f>AND(#REF!,"AAAAAFr97zM=")</f>
        <v>#REF!</v>
      </c>
      <c r="BA59" t="e">
        <f>AND(#REF!,"AAAAAFr97zQ=")</f>
        <v>#REF!</v>
      </c>
      <c r="BB59" t="e">
        <f>AND(#REF!,"AAAAAFr97zU=")</f>
        <v>#REF!</v>
      </c>
      <c r="BC59" t="e">
        <f>AND(#REF!,"AAAAAFr97zY=")</f>
        <v>#REF!</v>
      </c>
      <c r="BD59" t="e">
        <f>AND(#REF!,"AAAAAFr97zc=")</f>
        <v>#REF!</v>
      </c>
      <c r="BE59" t="e">
        <f>AND(#REF!,"AAAAAFr97zg=")</f>
        <v>#REF!</v>
      </c>
      <c r="BF59" t="e">
        <f>AND(#REF!,"AAAAAFr97zk=")</f>
        <v>#REF!</v>
      </c>
      <c r="BG59" t="e">
        <f>AND(#REF!,"AAAAAFr97zo=")</f>
        <v>#REF!</v>
      </c>
      <c r="BH59" t="e">
        <f>AND(#REF!,"AAAAAFr97zs=")</f>
        <v>#REF!</v>
      </c>
      <c r="BI59" t="e">
        <f>AND(#REF!,"AAAAAFr97zw=")</f>
        <v>#REF!</v>
      </c>
      <c r="BJ59" t="e">
        <f>AND(#REF!,"AAAAAFr97z0=")</f>
        <v>#REF!</v>
      </c>
      <c r="BK59" t="e">
        <f>AND(#REF!,"AAAAAFr97z4=")</f>
        <v>#REF!</v>
      </c>
      <c r="BL59" t="e">
        <f>AND(#REF!,"AAAAAFr97z8=")</f>
        <v>#REF!</v>
      </c>
      <c r="BM59" t="e">
        <f>AND(#REF!,"AAAAAFr970A=")</f>
        <v>#REF!</v>
      </c>
      <c r="BN59" t="e">
        <f>AND(#REF!,"AAAAAFr970E=")</f>
        <v>#REF!</v>
      </c>
      <c r="BO59" t="e">
        <f>AND(#REF!,"AAAAAFr970I=")</f>
        <v>#REF!</v>
      </c>
      <c r="BP59" t="e">
        <f>AND(#REF!,"AAAAAFr970M=")</f>
        <v>#REF!</v>
      </c>
      <c r="BQ59" t="e">
        <f>AND(#REF!,"AAAAAFr970Q=")</f>
        <v>#REF!</v>
      </c>
      <c r="BR59" t="e">
        <f>AND(#REF!,"AAAAAFr970U=")</f>
        <v>#REF!</v>
      </c>
      <c r="BS59" t="e">
        <f>AND(#REF!,"AAAAAFr970Y=")</f>
        <v>#REF!</v>
      </c>
      <c r="BT59" t="e">
        <f>AND(#REF!,"AAAAAFr970c=")</f>
        <v>#REF!</v>
      </c>
      <c r="BU59" t="e">
        <f>AND(#REF!,"AAAAAFr970g=")</f>
        <v>#REF!</v>
      </c>
      <c r="BV59" t="e">
        <f>AND(#REF!,"AAAAAFr970k=")</f>
        <v>#REF!</v>
      </c>
      <c r="BW59" t="e">
        <f>AND(#REF!,"AAAAAFr970o=")</f>
        <v>#REF!</v>
      </c>
      <c r="BX59" t="e">
        <f>AND(#REF!,"AAAAAFr970s=")</f>
        <v>#REF!</v>
      </c>
      <c r="BY59" t="e">
        <f>AND(#REF!,"AAAAAFr970w=")</f>
        <v>#REF!</v>
      </c>
      <c r="BZ59" t="e">
        <f>AND(#REF!,"AAAAAFr9700=")</f>
        <v>#REF!</v>
      </c>
      <c r="CA59" t="e">
        <f>AND(#REF!,"AAAAAFr9704=")</f>
        <v>#REF!</v>
      </c>
      <c r="CB59" t="e">
        <f>AND(#REF!,"AAAAAFr9708=")</f>
        <v>#REF!</v>
      </c>
      <c r="CC59" t="e">
        <f>AND(#REF!,"AAAAAFr971A=")</f>
        <v>#REF!</v>
      </c>
      <c r="CD59" t="e">
        <f>AND(#REF!,"AAAAAFr971E=")</f>
        <v>#REF!</v>
      </c>
      <c r="CE59" t="e">
        <f>AND(#REF!,"AAAAAFr971I=")</f>
        <v>#REF!</v>
      </c>
      <c r="CF59" t="e">
        <f>AND(#REF!,"AAAAAFr971M=")</f>
        <v>#REF!</v>
      </c>
      <c r="CG59" t="e">
        <f>AND(#REF!,"AAAAAFr971Q=")</f>
        <v>#REF!</v>
      </c>
      <c r="CH59" t="e">
        <f>AND(#REF!,"AAAAAFr971U=")</f>
        <v>#REF!</v>
      </c>
      <c r="CI59" t="e">
        <f>AND(#REF!,"AAAAAFr971Y=")</f>
        <v>#REF!</v>
      </c>
      <c r="CJ59" t="e">
        <f>AND(#REF!,"AAAAAFr971c=")</f>
        <v>#REF!</v>
      </c>
      <c r="CK59" t="e">
        <f>AND(#REF!,"AAAAAFr971g=")</f>
        <v>#REF!</v>
      </c>
      <c r="CL59" t="e">
        <f>AND(#REF!,"AAAAAFr971k=")</f>
        <v>#REF!</v>
      </c>
      <c r="CM59" t="e">
        <f>AND(#REF!,"AAAAAFr971o=")</f>
        <v>#REF!</v>
      </c>
      <c r="CN59" t="e">
        <f>IF(#REF!,"AAAAAFr971s=",0)</f>
        <v>#REF!</v>
      </c>
      <c r="CO59" t="e">
        <f>AND(#REF!,"AAAAAFr971w=")</f>
        <v>#REF!</v>
      </c>
      <c r="CP59" t="e">
        <f>AND(#REF!,"AAAAAFr9710=")</f>
        <v>#REF!</v>
      </c>
      <c r="CQ59" t="e">
        <f>AND(#REF!,"AAAAAFr9714=")</f>
        <v>#REF!</v>
      </c>
      <c r="CR59" t="e">
        <f>AND(#REF!,"AAAAAFr9718=")</f>
        <v>#REF!</v>
      </c>
      <c r="CS59" t="e">
        <f>AND(#REF!,"AAAAAFr972A=")</f>
        <v>#REF!</v>
      </c>
      <c r="CT59" t="e">
        <f>AND(#REF!,"AAAAAFr972E=")</f>
        <v>#REF!</v>
      </c>
      <c r="CU59" t="e">
        <f>AND(#REF!,"AAAAAFr972I=")</f>
        <v>#REF!</v>
      </c>
      <c r="CV59" t="e">
        <f>AND(#REF!,"AAAAAFr972M=")</f>
        <v>#REF!</v>
      </c>
      <c r="CW59" t="e">
        <f>AND(#REF!,"AAAAAFr972Q=")</f>
        <v>#REF!</v>
      </c>
      <c r="CX59" t="e">
        <f>AND(#REF!,"AAAAAFr972U=")</f>
        <v>#REF!</v>
      </c>
      <c r="CY59" t="e">
        <f>AND(#REF!,"AAAAAFr972Y=")</f>
        <v>#REF!</v>
      </c>
      <c r="CZ59" t="e">
        <f>AND(#REF!,"AAAAAFr972c=")</f>
        <v>#REF!</v>
      </c>
      <c r="DA59" t="e">
        <f>AND(#REF!,"AAAAAFr972g=")</f>
        <v>#REF!</v>
      </c>
      <c r="DB59" t="e">
        <f>AND(#REF!,"AAAAAFr972k=")</f>
        <v>#REF!</v>
      </c>
      <c r="DC59" t="e">
        <f>AND(#REF!,"AAAAAFr972o=")</f>
        <v>#REF!</v>
      </c>
      <c r="DD59" t="e">
        <f>AND(#REF!,"AAAAAFr972s=")</f>
        <v>#REF!</v>
      </c>
      <c r="DE59" t="e">
        <f>AND(#REF!,"AAAAAFr972w=")</f>
        <v>#REF!</v>
      </c>
      <c r="DF59" t="e">
        <f>AND(#REF!,"AAAAAFr9720=")</f>
        <v>#REF!</v>
      </c>
      <c r="DG59" t="e">
        <f>AND(#REF!,"AAAAAFr9724=")</f>
        <v>#REF!</v>
      </c>
      <c r="DH59" t="e">
        <f>AND(#REF!,"AAAAAFr9728=")</f>
        <v>#REF!</v>
      </c>
      <c r="DI59" t="e">
        <f>AND(#REF!,"AAAAAFr973A=")</f>
        <v>#REF!</v>
      </c>
      <c r="DJ59" t="e">
        <f>AND(#REF!,"AAAAAFr973E=")</f>
        <v>#REF!</v>
      </c>
      <c r="DK59" t="e">
        <f>AND(#REF!,"AAAAAFr973I=")</f>
        <v>#REF!</v>
      </c>
      <c r="DL59" t="e">
        <f>AND(#REF!,"AAAAAFr973M=")</f>
        <v>#REF!</v>
      </c>
      <c r="DM59" t="e">
        <f>AND(#REF!,"AAAAAFr973Q=")</f>
        <v>#REF!</v>
      </c>
      <c r="DN59" t="e">
        <f>AND(#REF!,"AAAAAFr973U=")</f>
        <v>#REF!</v>
      </c>
      <c r="DO59" t="e">
        <f>AND(#REF!,"AAAAAFr973Y=")</f>
        <v>#REF!</v>
      </c>
      <c r="DP59" t="e">
        <f>AND(#REF!,"AAAAAFr973c=")</f>
        <v>#REF!</v>
      </c>
      <c r="DQ59" t="e">
        <f>AND(#REF!,"AAAAAFr973g=")</f>
        <v>#REF!</v>
      </c>
      <c r="DR59" t="e">
        <f>AND(#REF!,"AAAAAFr973k=")</f>
        <v>#REF!</v>
      </c>
      <c r="DS59" t="e">
        <f>AND(#REF!,"AAAAAFr973o=")</f>
        <v>#REF!</v>
      </c>
      <c r="DT59" t="e">
        <f>AND(#REF!,"AAAAAFr973s=")</f>
        <v>#REF!</v>
      </c>
      <c r="DU59" t="e">
        <f>AND(#REF!,"AAAAAFr973w=")</f>
        <v>#REF!</v>
      </c>
      <c r="DV59" t="e">
        <f>AND(#REF!,"AAAAAFr9730=")</f>
        <v>#REF!</v>
      </c>
      <c r="DW59" t="e">
        <f>AND(#REF!,"AAAAAFr9734=")</f>
        <v>#REF!</v>
      </c>
      <c r="DX59" t="e">
        <f>AND(#REF!,"AAAAAFr9738=")</f>
        <v>#REF!</v>
      </c>
      <c r="DY59" t="e">
        <f>AND(#REF!,"AAAAAFr974A=")</f>
        <v>#REF!</v>
      </c>
      <c r="DZ59" t="e">
        <f>AND(#REF!,"AAAAAFr974E=")</f>
        <v>#REF!</v>
      </c>
      <c r="EA59" t="e">
        <f>AND(#REF!,"AAAAAFr974I=")</f>
        <v>#REF!</v>
      </c>
      <c r="EB59" t="e">
        <f>AND(#REF!,"AAAAAFr974M=")</f>
        <v>#REF!</v>
      </c>
      <c r="EC59" t="e">
        <f>AND(#REF!,"AAAAAFr974Q=")</f>
        <v>#REF!</v>
      </c>
      <c r="ED59" t="e">
        <f>AND(#REF!,"AAAAAFr974U=")</f>
        <v>#REF!</v>
      </c>
      <c r="EE59" t="e">
        <f>AND(#REF!,"AAAAAFr974Y=")</f>
        <v>#REF!</v>
      </c>
      <c r="EF59" t="e">
        <f>AND(#REF!,"AAAAAFr974c=")</f>
        <v>#REF!</v>
      </c>
      <c r="EG59" t="e">
        <f>AND(#REF!,"AAAAAFr974g=")</f>
        <v>#REF!</v>
      </c>
      <c r="EH59" t="e">
        <f>AND(#REF!,"AAAAAFr974k=")</f>
        <v>#REF!</v>
      </c>
      <c r="EI59" t="e">
        <f>AND(#REF!,"AAAAAFr974o=")</f>
        <v>#REF!</v>
      </c>
      <c r="EJ59" t="e">
        <f>AND(#REF!,"AAAAAFr974s=")</f>
        <v>#REF!</v>
      </c>
      <c r="EK59" t="e">
        <f>AND(#REF!,"AAAAAFr974w=")</f>
        <v>#REF!</v>
      </c>
      <c r="EL59" t="e">
        <f>AND(#REF!,"AAAAAFr9740=")</f>
        <v>#REF!</v>
      </c>
      <c r="EM59" t="e">
        <f>AND(#REF!,"AAAAAFr9744=")</f>
        <v>#REF!</v>
      </c>
      <c r="EN59" t="e">
        <f>AND(#REF!,"AAAAAFr9748=")</f>
        <v>#REF!</v>
      </c>
      <c r="EO59" t="e">
        <f>AND(#REF!,"AAAAAFr975A=")</f>
        <v>#REF!</v>
      </c>
      <c r="EP59" t="e">
        <f>AND(#REF!,"AAAAAFr975E=")</f>
        <v>#REF!</v>
      </c>
      <c r="EQ59" t="e">
        <f>IF(#REF!,"AAAAAFr975I=",0)</f>
        <v>#REF!</v>
      </c>
      <c r="ER59" t="e">
        <f>AND(#REF!,"AAAAAFr975M=")</f>
        <v>#REF!</v>
      </c>
      <c r="ES59" t="e">
        <f>AND(#REF!,"AAAAAFr975Q=")</f>
        <v>#REF!</v>
      </c>
      <c r="ET59" t="e">
        <f>AND(#REF!,"AAAAAFr975U=")</f>
        <v>#REF!</v>
      </c>
      <c r="EU59" t="e">
        <f>AND(#REF!,"AAAAAFr975Y=")</f>
        <v>#REF!</v>
      </c>
      <c r="EV59" t="e">
        <f>AND(#REF!,"AAAAAFr975c=")</f>
        <v>#REF!</v>
      </c>
      <c r="EW59" t="e">
        <f>AND(#REF!,"AAAAAFr975g=")</f>
        <v>#REF!</v>
      </c>
      <c r="EX59" t="e">
        <f>AND(#REF!,"AAAAAFr975k=")</f>
        <v>#REF!</v>
      </c>
      <c r="EY59" t="e">
        <f>AND(#REF!,"AAAAAFr975o=")</f>
        <v>#REF!</v>
      </c>
      <c r="EZ59" t="e">
        <f>AND(#REF!,"AAAAAFr975s=")</f>
        <v>#REF!</v>
      </c>
      <c r="FA59" t="e">
        <f>AND(#REF!,"AAAAAFr975w=")</f>
        <v>#REF!</v>
      </c>
      <c r="FB59" t="e">
        <f>AND(#REF!,"AAAAAFr9750=")</f>
        <v>#REF!</v>
      </c>
      <c r="FC59" t="e">
        <f>AND(#REF!,"AAAAAFr9754=")</f>
        <v>#REF!</v>
      </c>
      <c r="FD59" t="e">
        <f>AND(#REF!,"AAAAAFr9758=")</f>
        <v>#REF!</v>
      </c>
      <c r="FE59" t="e">
        <f>AND(#REF!,"AAAAAFr976A=")</f>
        <v>#REF!</v>
      </c>
      <c r="FF59" t="e">
        <f>AND(#REF!,"AAAAAFr976E=")</f>
        <v>#REF!</v>
      </c>
      <c r="FG59" t="e">
        <f>AND(#REF!,"AAAAAFr976I=")</f>
        <v>#REF!</v>
      </c>
      <c r="FH59" t="e">
        <f>AND(#REF!,"AAAAAFr976M=")</f>
        <v>#REF!</v>
      </c>
      <c r="FI59" t="e">
        <f>AND(#REF!,"AAAAAFr976Q=")</f>
        <v>#REF!</v>
      </c>
      <c r="FJ59" t="e">
        <f>AND(#REF!,"AAAAAFr976U=")</f>
        <v>#REF!</v>
      </c>
      <c r="FK59" t="e">
        <f>AND(#REF!,"AAAAAFr976Y=")</f>
        <v>#REF!</v>
      </c>
      <c r="FL59" t="e">
        <f>AND(#REF!,"AAAAAFr976c=")</f>
        <v>#REF!</v>
      </c>
      <c r="FM59" t="e">
        <f>AND(#REF!,"AAAAAFr976g=")</f>
        <v>#REF!</v>
      </c>
      <c r="FN59" t="e">
        <f>AND(#REF!,"AAAAAFr976k=")</f>
        <v>#REF!</v>
      </c>
      <c r="FO59" t="e">
        <f>AND(#REF!,"AAAAAFr976o=")</f>
        <v>#REF!</v>
      </c>
      <c r="FP59" t="e">
        <f>AND(#REF!,"AAAAAFr976s=")</f>
        <v>#REF!</v>
      </c>
      <c r="FQ59" t="e">
        <f>AND(#REF!,"AAAAAFr976w=")</f>
        <v>#REF!</v>
      </c>
      <c r="FR59" t="e">
        <f>AND(#REF!,"AAAAAFr9760=")</f>
        <v>#REF!</v>
      </c>
      <c r="FS59" t="e">
        <f>AND(#REF!,"AAAAAFr9764=")</f>
        <v>#REF!</v>
      </c>
      <c r="FT59" t="e">
        <f>AND(#REF!,"AAAAAFr9768=")</f>
        <v>#REF!</v>
      </c>
      <c r="FU59" t="e">
        <f>AND(#REF!,"AAAAAFr977A=")</f>
        <v>#REF!</v>
      </c>
      <c r="FV59" t="e">
        <f>AND(#REF!,"AAAAAFr977E=")</f>
        <v>#REF!</v>
      </c>
      <c r="FW59" t="e">
        <f>AND(#REF!,"AAAAAFr977I=")</f>
        <v>#REF!</v>
      </c>
      <c r="FX59" t="e">
        <f>AND(#REF!,"AAAAAFr977M=")</f>
        <v>#REF!</v>
      </c>
      <c r="FY59" t="e">
        <f>AND(#REF!,"AAAAAFr977Q=")</f>
        <v>#REF!</v>
      </c>
      <c r="FZ59" t="e">
        <f>AND(#REF!,"AAAAAFr977U=")</f>
        <v>#REF!</v>
      </c>
      <c r="GA59" t="e">
        <f>AND(#REF!,"AAAAAFr977Y=")</f>
        <v>#REF!</v>
      </c>
      <c r="GB59" t="e">
        <f>AND(#REF!,"AAAAAFr977c=")</f>
        <v>#REF!</v>
      </c>
      <c r="GC59" t="e">
        <f>AND(#REF!,"AAAAAFr977g=")</f>
        <v>#REF!</v>
      </c>
      <c r="GD59" t="e">
        <f>AND(#REF!,"AAAAAFr977k=")</f>
        <v>#REF!</v>
      </c>
      <c r="GE59" t="e">
        <f>AND(#REF!,"AAAAAFr977o=")</f>
        <v>#REF!</v>
      </c>
      <c r="GF59" t="e">
        <f>AND(#REF!,"AAAAAFr977s=")</f>
        <v>#REF!</v>
      </c>
      <c r="GG59" t="e">
        <f>AND(#REF!,"AAAAAFr977w=")</f>
        <v>#REF!</v>
      </c>
      <c r="GH59" t="e">
        <f>AND(#REF!,"AAAAAFr9770=")</f>
        <v>#REF!</v>
      </c>
      <c r="GI59" t="e">
        <f>AND(#REF!,"AAAAAFr9774=")</f>
        <v>#REF!</v>
      </c>
      <c r="GJ59" t="e">
        <f>AND(#REF!,"AAAAAFr9778=")</f>
        <v>#REF!</v>
      </c>
      <c r="GK59" t="e">
        <f>AND(#REF!,"AAAAAFr978A=")</f>
        <v>#REF!</v>
      </c>
      <c r="GL59" t="e">
        <f>AND(#REF!,"AAAAAFr978E=")</f>
        <v>#REF!</v>
      </c>
      <c r="GM59" t="e">
        <f>AND(#REF!,"AAAAAFr978I=")</f>
        <v>#REF!</v>
      </c>
      <c r="GN59" t="e">
        <f>AND(#REF!,"AAAAAFr978M=")</f>
        <v>#REF!</v>
      </c>
      <c r="GO59" t="e">
        <f>AND(#REF!,"AAAAAFr978Q=")</f>
        <v>#REF!</v>
      </c>
      <c r="GP59" t="e">
        <f>AND(#REF!,"AAAAAFr978U=")</f>
        <v>#REF!</v>
      </c>
      <c r="GQ59" t="e">
        <f>AND(#REF!,"AAAAAFr978Y=")</f>
        <v>#REF!</v>
      </c>
      <c r="GR59" t="e">
        <f>AND(#REF!,"AAAAAFr978c=")</f>
        <v>#REF!</v>
      </c>
      <c r="GS59" t="e">
        <f>AND(#REF!,"AAAAAFr978g=")</f>
        <v>#REF!</v>
      </c>
      <c r="GT59" t="e">
        <f>IF(#REF!,"AAAAAFr978k=",0)</f>
        <v>#REF!</v>
      </c>
      <c r="GU59" t="e">
        <f>AND(#REF!,"AAAAAFr978o=")</f>
        <v>#REF!</v>
      </c>
      <c r="GV59" t="e">
        <f>AND(#REF!,"AAAAAFr978s=")</f>
        <v>#REF!</v>
      </c>
      <c r="GW59" t="e">
        <f>AND(#REF!,"AAAAAFr978w=")</f>
        <v>#REF!</v>
      </c>
      <c r="GX59" t="e">
        <f>AND(#REF!,"AAAAAFr9780=")</f>
        <v>#REF!</v>
      </c>
      <c r="GY59" t="e">
        <f>AND(#REF!,"AAAAAFr9784=")</f>
        <v>#REF!</v>
      </c>
      <c r="GZ59" t="e">
        <f>AND(#REF!,"AAAAAFr9788=")</f>
        <v>#REF!</v>
      </c>
      <c r="HA59" t="e">
        <f>AND(#REF!,"AAAAAFr979A=")</f>
        <v>#REF!</v>
      </c>
      <c r="HB59" t="e">
        <f>AND(#REF!,"AAAAAFr979E=")</f>
        <v>#REF!</v>
      </c>
      <c r="HC59" t="e">
        <f>AND(#REF!,"AAAAAFr979I=")</f>
        <v>#REF!</v>
      </c>
      <c r="HD59" t="e">
        <f>AND(#REF!,"AAAAAFr979M=")</f>
        <v>#REF!</v>
      </c>
      <c r="HE59" t="e">
        <f>AND(#REF!,"AAAAAFr979Q=")</f>
        <v>#REF!</v>
      </c>
      <c r="HF59" t="e">
        <f>AND(#REF!,"AAAAAFr979U=")</f>
        <v>#REF!</v>
      </c>
      <c r="HG59" t="e">
        <f>AND(#REF!,"AAAAAFr979Y=")</f>
        <v>#REF!</v>
      </c>
      <c r="HH59" t="e">
        <f>AND(#REF!,"AAAAAFr979c=")</f>
        <v>#REF!</v>
      </c>
      <c r="HI59" t="e">
        <f>AND(#REF!,"AAAAAFr979g=")</f>
        <v>#REF!</v>
      </c>
      <c r="HJ59" t="e">
        <f>AND(#REF!,"AAAAAFr979k=")</f>
        <v>#REF!</v>
      </c>
      <c r="HK59" t="e">
        <f>AND(#REF!,"AAAAAFr979o=")</f>
        <v>#REF!</v>
      </c>
      <c r="HL59" t="e">
        <f>AND(#REF!,"AAAAAFr979s=")</f>
        <v>#REF!</v>
      </c>
      <c r="HM59" t="e">
        <f>AND(#REF!,"AAAAAFr979w=")</f>
        <v>#REF!</v>
      </c>
      <c r="HN59" t="e">
        <f>AND(#REF!,"AAAAAFr9790=")</f>
        <v>#REF!</v>
      </c>
      <c r="HO59" t="e">
        <f>AND(#REF!,"AAAAAFr9794=")</f>
        <v>#REF!</v>
      </c>
      <c r="HP59" t="e">
        <f>AND(#REF!,"AAAAAFr9798=")</f>
        <v>#REF!</v>
      </c>
      <c r="HQ59" t="e">
        <f>AND(#REF!,"AAAAAFr97+A=")</f>
        <v>#REF!</v>
      </c>
      <c r="HR59" t="e">
        <f>AND(#REF!,"AAAAAFr97+E=")</f>
        <v>#REF!</v>
      </c>
      <c r="HS59" t="e">
        <f>AND(#REF!,"AAAAAFr97+I=")</f>
        <v>#REF!</v>
      </c>
      <c r="HT59" t="e">
        <f>AND(#REF!,"AAAAAFr97+M=")</f>
        <v>#REF!</v>
      </c>
      <c r="HU59" t="e">
        <f>AND(#REF!,"AAAAAFr97+Q=")</f>
        <v>#REF!</v>
      </c>
      <c r="HV59" t="e">
        <f>AND(#REF!,"AAAAAFr97+U=")</f>
        <v>#REF!</v>
      </c>
      <c r="HW59" t="e">
        <f>AND(#REF!,"AAAAAFr97+Y=")</f>
        <v>#REF!</v>
      </c>
      <c r="HX59" t="e">
        <f>AND(#REF!,"AAAAAFr97+c=")</f>
        <v>#REF!</v>
      </c>
      <c r="HY59" t="e">
        <f>AND(#REF!,"AAAAAFr97+g=")</f>
        <v>#REF!</v>
      </c>
      <c r="HZ59" t="e">
        <f>AND(#REF!,"AAAAAFr97+k=")</f>
        <v>#REF!</v>
      </c>
      <c r="IA59" t="e">
        <f>AND(#REF!,"AAAAAFr97+o=")</f>
        <v>#REF!</v>
      </c>
      <c r="IB59" t="e">
        <f>AND(#REF!,"AAAAAFr97+s=")</f>
        <v>#REF!</v>
      </c>
      <c r="IC59" t="e">
        <f>AND(#REF!,"AAAAAFr97+w=")</f>
        <v>#REF!</v>
      </c>
      <c r="ID59" t="e">
        <f>AND(#REF!,"AAAAAFr97+0=")</f>
        <v>#REF!</v>
      </c>
      <c r="IE59" t="e">
        <f>AND(#REF!,"AAAAAFr97+4=")</f>
        <v>#REF!</v>
      </c>
      <c r="IF59" t="e">
        <f>AND(#REF!,"AAAAAFr97+8=")</f>
        <v>#REF!</v>
      </c>
      <c r="IG59" t="e">
        <f>AND(#REF!,"AAAAAFr97/A=")</f>
        <v>#REF!</v>
      </c>
      <c r="IH59" t="e">
        <f>AND(#REF!,"AAAAAFr97/E=")</f>
        <v>#REF!</v>
      </c>
      <c r="II59" t="e">
        <f>AND(#REF!,"AAAAAFr97/I=")</f>
        <v>#REF!</v>
      </c>
      <c r="IJ59" t="e">
        <f>AND(#REF!,"AAAAAFr97/M=")</f>
        <v>#REF!</v>
      </c>
      <c r="IK59" t="e">
        <f>AND(#REF!,"AAAAAFr97/Q=")</f>
        <v>#REF!</v>
      </c>
      <c r="IL59" t="e">
        <f>AND(#REF!,"AAAAAFr97/U=")</f>
        <v>#REF!</v>
      </c>
      <c r="IM59" t="e">
        <f>AND(#REF!,"AAAAAFr97/Y=")</f>
        <v>#REF!</v>
      </c>
      <c r="IN59" t="e">
        <f>AND(#REF!,"AAAAAFr97/c=")</f>
        <v>#REF!</v>
      </c>
      <c r="IO59" t="e">
        <f>AND(#REF!,"AAAAAFr97/g=")</f>
        <v>#REF!</v>
      </c>
      <c r="IP59" t="e">
        <f>AND(#REF!,"AAAAAFr97/k=")</f>
        <v>#REF!</v>
      </c>
      <c r="IQ59" t="e">
        <f>AND(#REF!,"AAAAAFr97/o=")</f>
        <v>#REF!</v>
      </c>
      <c r="IR59" t="e">
        <f>AND(#REF!,"AAAAAFr97/s=")</f>
        <v>#REF!</v>
      </c>
      <c r="IS59" t="e">
        <f>AND(#REF!,"AAAAAFr97/w=")</f>
        <v>#REF!</v>
      </c>
      <c r="IT59" t="e">
        <f>AND(#REF!,"AAAAAFr97/0=")</f>
        <v>#REF!</v>
      </c>
      <c r="IU59" t="e">
        <f>AND(#REF!,"AAAAAFr97/4=")</f>
        <v>#REF!</v>
      </c>
      <c r="IV59" t="e">
        <f>AND(#REF!,"AAAAAFr97/8=")</f>
        <v>#REF!</v>
      </c>
    </row>
    <row r="60" spans="1:256" x14ac:dyDescent="0.25">
      <c r="A60" t="e">
        <f>IF(#REF!,"AAAAAHb/7QA=",0)</f>
        <v>#REF!</v>
      </c>
      <c r="B60" t="e">
        <f>AND(#REF!,"AAAAAHb/7QE=")</f>
        <v>#REF!</v>
      </c>
      <c r="C60" t="e">
        <f>AND(#REF!,"AAAAAHb/7QI=")</f>
        <v>#REF!</v>
      </c>
      <c r="D60" t="e">
        <f>AND(#REF!,"AAAAAHb/7QM=")</f>
        <v>#REF!</v>
      </c>
      <c r="E60" t="e">
        <f>AND(#REF!,"AAAAAHb/7QQ=")</f>
        <v>#REF!</v>
      </c>
      <c r="F60" t="e">
        <f>AND(#REF!,"AAAAAHb/7QU=")</f>
        <v>#REF!</v>
      </c>
      <c r="G60" t="e">
        <f>AND(#REF!,"AAAAAHb/7QY=")</f>
        <v>#REF!</v>
      </c>
      <c r="H60" t="e">
        <f>AND(#REF!,"AAAAAHb/7Qc=")</f>
        <v>#REF!</v>
      </c>
      <c r="I60" t="e">
        <f>AND(#REF!,"AAAAAHb/7Qg=")</f>
        <v>#REF!</v>
      </c>
      <c r="J60" t="e">
        <f>AND(#REF!,"AAAAAHb/7Qk=")</f>
        <v>#REF!</v>
      </c>
      <c r="K60" t="e">
        <f>AND(#REF!,"AAAAAHb/7Qo=")</f>
        <v>#REF!</v>
      </c>
      <c r="L60" t="e">
        <f>AND(#REF!,"AAAAAHb/7Qs=")</f>
        <v>#REF!</v>
      </c>
      <c r="M60" t="e">
        <f>AND(#REF!,"AAAAAHb/7Qw=")</f>
        <v>#REF!</v>
      </c>
      <c r="N60" t="e">
        <f>AND(#REF!,"AAAAAHb/7Q0=")</f>
        <v>#REF!</v>
      </c>
      <c r="O60" t="e">
        <f>AND(#REF!,"AAAAAHb/7Q4=")</f>
        <v>#REF!</v>
      </c>
      <c r="P60" t="e">
        <f>AND(#REF!,"AAAAAHb/7Q8=")</f>
        <v>#REF!</v>
      </c>
      <c r="Q60" t="e">
        <f>AND(#REF!,"AAAAAHb/7RA=")</f>
        <v>#REF!</v>
      </c>
      <c r="R60" t="e">
        <f>AND(#REF!,"AAAAAHb/7RE=")</f>
        <v>#REF!</v>
      </c>
      <c r="S60" t="e">
        <f>AND(#REF!,"AAAAAHb/7RI=")</f>
        <v>#REF!</v>
      </c>
      <c r="T60" t="e">
        <f>AND(#REF!,"AAAAAHb/7RM=")</f>
        <v>#REF!</v>
      </c>
      <c r="U60" t="e">
        <f>AND(#REF!,"AAAAAHb/7RQ=")</f>
        <v>#REF!</v>
      </c>
      <c r="V60" t="e">
        <f>AND(#REF!,"AAAAAHb/7RU=")</f>
        <v>#REF!</v>
      </c>
      <c r="W60" t="e">
        <f>AND(#REF!,"AAAAAHb/7RY=")</f>
        <v>#REF!</v>
      </c>
      <c r="X60" t="e">
        <f>AND(#REF!,"AAAAAHb/7Rc=")</f>
        <v>#REF!</v>
      </c>
      <c r="Y60" t="e">
        <f>AND(#REF!,"AAAAAHb/7Rg=")</f>
        <v>#REF!</v>
      </c>
      <c r="Z60" t="e">
        <f>AND(#REF!,"AAAAAHb/7Rk=")</f>
        <v>#REF!</v>
      </c>
      <c r="AA60" t="e">
        <f>AND(#REF!,"AAAAAHb/7Ro=")</f>
        <v>#REF!</v>
      </c>
      <c r="AB60" t="e">
        <f>AND(#REF!,"AAAAAHb/7Rs=")</f>
        <v>#REF!</v>
      </c>
      <c r="AC60" t="e">
        <f>AND(#REF!,"AAAAAHb/7Rw=")</f>
        <v>#REF!</v>
      </c>
      <c r="AD60" t="e">
        <f>AND(#REF!,"AAAAAHb/7R0=")</f>
        <v>#REF!</v>
      </c>
      <c r="AE60" t="e">
        <f>AND(#REF!,"AAAAAHb/7R4=")</f>
        <v>#REF!</v>
      </c>
      <c r="AF60" t="e">
        <f>AND(#REF!,"AAAAAHb/7R8=")</f>
        <v>#REF!</v>
      </c>
      <c r="AG60" t="e">
        <f>AND(#REF!,"AAAAAHb/7SA=")</f>
        <v>#REF!</v>
      </c>
      <c r="AH60" t="e">
        <f>AND(#REF!,"AAAAAHb/7SE=")</f>
        <v>#REF!</v>
      </c>
      <c r="AI60" t="e">
        <f>AND(#REF!,"AAAAAHb/7SI=")</f>
        <v>#REF!</v>
      </c>
      <c r="AJ60" t="e">
        <f>AND(#REF!,"AAAAAHb/7SM=")</f>
        <v>#REF!</v>
      </c>
      <c r="AK60" t="e">
        <f>AND(#REF!,"AAAAAHb/7SQ=")</f>
        <v>#REF!</v>
      </c>
      <c r="AL60" t="e">
        <f>AND(#REF!,"AAAAAHb/7SU=")</f>
        <v>#REF!</v>
      </c>
      <c r="AM60" t="e">
        <f>AND(#REF!,"AAAAAHb/7SY=")</f>
        <v>#REF!</v>
      </c>
      <c r="AN60" t="e">
        <f>AND(#REF!,"AAAAAHb/7Sc=")</f>
        <v>#REF!</v>
      </c>
      <c r="AO60" t="e">
        <f>AND(#REF!,"AAAAAHb/7Sg=")</f>
        <v>#REF!</v>
      </c>
      <c r="AP60" t="e">
        <f>AND(#REF!,"AAAAAHb/7Sk=")</f>
        <v>#REF!</v>
      </c>
      <c r="AQ60" t="e">
        <f>AND(#REF!,"AAAAAHb/7So=")</f>
        <v>#REF!</v>
      </c>
      <c r="AR60" t="e">
        <f>AND(#REF!,"AAAAAHb/7Ss=")</f>
        <v>#REF!</v>
      </c>
      <c r="AS60" t="e">
        <f>AND(#REF!,"AAAAAHb/7Sw=")</f>
        <v>#REF!</v>
      </c>
      <c r="AT60" t="e">
        <f>AND(#REF!,"AAAAAHb/7S0=")</f>
        <v>#REF!</v>
      </c>
      <c r="AU60" t="e">
        <f>AND(#REF!,"AAAAAHb/7S4=")</f>
        <v>#REF!</v>
      </c>
      <c r="AV60" t="e">
        <f>AND(#REF!,"AAAAAHb/7S8=")</f>
        <v>#REF!</v>
      </c>
      <c r="AW60" t="e">
        <f>AND(#REF!,"AAAAAHb/7TA=")</f>
        <v>#REF!</v>
      </c>
      <c r="AX60" t="e">
        <f>AND(#REF!,"AAAAAHb/7TE=")</f>
        <v>#REF!</v>
      </c>
      <c r="AY60" t="e">
        <f>AND(#REF!,"AAAAAHb/7TI=")</f>
        <v>#REF!</v>
      </c>
      <c r="AZ60" t="e">
        <f>AND(#REF!,"AAAAAHb/7TM=")</f>
        <v>#REF!</v>
      </c>
      <c r="BA60" t="e">
        <f>AND(#REF!,"AAAAAHb/7TQ=")</f>
        <v>#REF!</v>
      </c>
      <c r="BB60" t="e">
        <f>AND(#REF!,"AAAAAHb/7TU=")</f>
        <v>#REF!</v>
      </c>
      <c r="BC60" t="e">
        <f>AND(#REF!,"AAAAAHb/7TY=")</f>
        <v>#REF!</v>
      </c>
      <c r="BD60" t="e">
        <f>IF(#REF!,"AAAAAHb/7Tc=",0)</f>
        <v>#REF!</v>
      </c>
      <c r="BE60" t="e">
        <f>AND(#REF!,"AAAAAHb/7Tg=")</f>
        <v>#REF!</v>
      </c>
      <c r="BF60" t="e">
        <f>AND(#REF!,"AAAAAHb/7Tk=")</f>
        <v>#REF!</v>
      </c>
      <c r="BG60" t="e">
        <f>AND(#REF!,"AAAAAHb/7To=")</f>
        <v>#REF!</v>
      </c>
      <c r="BH60" t="e">
        <f>AND(#REF!,"AAAAAHb/7Ts=")</f>
        <v>#REF!</v>
      </c>
      <c r="BI60" t="e">
        <f>AND(#REF!,"AAAAAHb/7Tw=")</f>
        <v>#REF!</v>
      </c>
      <c r="BJ60" t="e">
        <f>AND(#REF!,"AAAAAHb/7T0=")</f>
        <v>#REF!</v>
      </c>
      <c r="BK60" t="e">
        <f>AND(#REF!,"AAAAAHb/7T4=")</f>
        <v>#REF!</v>
      </c>
      <c r="BL60" t="e">
        <f>AND(#REF!,"AAAAAHb/7T8=")</f>
        <v>#REF!</v>
      </c>
      <c r="BM60" t="e">
        <f>AND(#REF!,"AAAAAHb/7UA=")</f>
        <v>#REF!</v>
      </c>
      <c r="BN60" t="e">
        <f>AND(#REF!,"AAAAAHb/7UE=")</f>
        <v>#REF!</v>
      </c>
      <c r="BO60" t="e">
        <f>AND(#REF!,"AAAAAHb/7UI=")</f>
        <v>#REF!</v>
      </c>
      <c r="BP60" t="e">
        <f>AND(#REF!,"AAAAAHb/7UM=")</f>
        <v>#REF!</v>
      </c>
      <c r="BQ60" t="e">
        <f>AND(#REF!,"AAAAAHb/7UQ=")</f>
        <v>#REF!</v>
      </c>
      <c r="BR60" t="e">
        <f>AND(#REF!,"AAAAAHb/7UU=")</f>
        <v>#REF!</v>
      </c>
      <c r="BS60" t="e">
        <f>AND(#REF!,"AAAAAHb/7UY=")</f>
        <v>#REF!</v>
      </c>
      <c r="BT60" t="e">
        <f>AND(#REF!,"AAAAAHb/7Uc=")</f>
        <v>#REF!</v>
      </c>
      <c r="BU60" t="e">
        <f>AND(#REF!,"AAAAAHb/7Ug=")</f>
        <v>#REF!</v>
      </c>
      <c r="BV60" t="e">
        <f>AND(#REF!,"AAAAAHb/7Uk=")</f>
        <v>#REF!</v>
      </c>
      <c r="BW60" t="e">
        <f>AND(#REF!,"AAAAAHb/7Uo=")</f>
        <v>#REF!</v>
      </c>
      <c r="BX60" t="e">
        <f>AND(#REF!,"AAAAAHb/7Us=")</f>
        <v>#REF!</v>
      </c>
      <c r="BY60" t="e">
        <f>AND(#REF!,"AAAAAHb/7Uw=")</f>
        <v>#REF!</v>
      </c>
      <c r="BZ60" t="e">
        <f>AND(#REF!,"AAAAAHb/7U0=")</f>
        <v>#REF!</v>
      </c>
      <c r="CA60" t="e">
        <f>AND(#REF!,"AAAAAHb/7U4=")</f>
        <v>#REF!</v>
      </c>
      <c r="CB60" t="e">
        <f>AND(#REF!,"AAAAAHb/7U8=")</f>
        <v>#REF!</v>
      </c>
      <c r="CC60" t="e">
        <f>AND(#REF!,"AAAAAHb/7VA=")</f>
        <v>#REF!</v>
      </c>
      <c r="CD60" t="e">
        <f>AND(#REF!,"AAAAAHb/7VE=")</f>
        <v>#REF!</v>
      </c>
      <c r="CE60" t="e">
        <f>AND(#REF!,"AAAAAHb/7VI=")</f>
        <v>#REF!</v>
      </c>
      <c r="CF60" t="e">
        <f>AND(#REF!,"AAAAAHb/7VM=")</f>
        <v>#REF!</v>
      </c>
      <c r="CG60" t="e">
        <f>AND(#REF!,"AAAAAHb/7VQ=")</f>
        <v>#REF!</v>
      </c>
      <c r="CH60" t="e">
        <f>AND(#REF!,"AAAAAHb/7VU=")</f>
        <v>#REF!</v>
      </c>
      <c r="CI60" t="e">
        <f>AND(#REF!,"AAAAAHb/7VY=")</f>
        <v>#REF!</v>
      </c>
      <c r="CJ60" t="e">
        <f>AND(#REF!,"AAAAAHb/7Vc=")</f>
        <v>#REF!</v>
      </c>
      <c r="CK60" t="e">
        <f>AND(#REF!,"AAAAAHb/7Vg=")</f>
        <v>#REF!</v>
      </c>
      <c r="CL60" t="e">
        <f>AND(#REF!,"AAAAAHb/7Vk=")</f>
        <v>#REF!</v>
      </c>
      <c r="CM60" t="e">
        <f>AND(#REF!,"AAAAAHb/7Vo=")</f>
        <v>#REF!</v>
      </c>
      <c r="CN60" t="e">
        <f>AND(#REF!,"AAAAAHb/7Vs=")</f>
        <v>#REF!</v>
      </c>
      <c r="CO60" t="e">
        <f>AND(#REF!,"AAAAAHb/7Vw=")</f>
        <v>#REF!</v>
      </c>
      <c r="CP60" t="e">
        <f>AND(#REF!,"AAAAAHb/7V0=")</f>
        <v>#REF!</v>
      </c>
      <c r="CQ60" t="e">
        <f>AND(#REF!,"AAAAAHb/7V4=")</f>
        <v>#REF!</v>
      </c>
      <c r="CR60" t="e">
        <f>AND(#REF!,"AAAAAHb/7V8=")</f>
        <v>#REF!</v>
      </c>
      <c r="CS60" t="e">
        <f>AND(#REF!,"AAAAAHb/7WA=")</f>
        <v>#REF!</v>
      </c>
      <c r="CT60" t="e">
        <f>AND(#REF!,"AAAAAHb/7WE=")</f>
        <v>#REF!</v>
      </c>
      <c r="CU60" t="e">
        <f>AND(#REF!,"AAAAAHb/7WI=")</f>
        <v>#REF!</v>
      </c>
      <c r="CV60" t="e">
        <f>AND(#REF!,"AAAAAHb/7WM=")</f>
        <v>#REF!</v>
      </c>
      <c r="CW60" t="e">
        <f>AND(#REF!,"AAAAAHb/7WQ=")</f>
        <v>#REF!</v>
      </c>
      <c r="CX60" t="e">
        <f>AND(#REF!,"AAAAAHb/7WU=")</f>
        <v>#REF!</v>
      </c>
      <c r="CY60" t="e">
        <f>AND(#REF!,"AAAAAHb/7WY=")</f>
        <v>#REF!</v>
      </c>
      <c r="CZ60" t="e">
        <f>AND(#REF!,"AAAAAHb/7Wc=")</f>
        <v>#REF!</v>
      </c>
      <c r="DA60" t="e">
        <f>AND(#REF!,"AAAAAHb/7Wg=")</f>
        <v>#REF!</v>
      </c>
      <c r="DB60" t="e">
        <f>AND(#REF!,"AAAAAHb/7Wk=")</f>
        <v>#REF!</v>
      </c>
      <c r="DC60" t="e">
        <f>AND(#REF!,"AAAAAHb/7Wo=")</f>
        <v>#REF!</v>
      </c>
      <c r="DD60" t="e">
        <f>AND(#REF!,"AAAAAHb/7Ws=")</f>
        <v>#REF!</v>
      </c>
      <c r="DE60" t="e">
        <f>AND(#REF!,"AAAAAHb/7Ww=")</f>
        <v>#REF!</v>
      </c>
      <c r="DF60" t="e">
        <f>AND(#REF!,"AAAAAHb/7W0=")</f>
        <v>#REF!</v>
      </c>
      <c r="DG60" t="e">
        <f>IF(#REF!,"AAAAAHb/7W4=",0)</f>
        <v>#REF!</v>
      </c>
      <c r="DH60" t="e">
        <f>AND(#REF!,"AAAAAHb/7W8=")</f>
        <v>#REF!</v>
      </c>
      <c r="DI60" t="e">
        <f>AND(#REF!,"AAAAAHb/7XA=")</f>
        <v>#REF!</v>
      </c>
      <c r="DJ60" t="e">
        <f>AND(#REF!,"AAAAAHb/7XE=")</f>
        <v>#REF!</v>
      </c>
      <c r="DK60" t="e">
        <f>AND(#REF!,"AAAAAHb/7XI=")</f>
        <v>#REF!</v>
      </c>
      <c r="DL60" t="e">
        <f>AND(#REF!,"AAAAAHb/7XM=")</f>
        <v>#REF!</v>
      </c>
      <c r="DM60" t="e">
        <f>AND(#REF!,"AAAAAHb/7XQ=")</f>
        <v>#REF!</v>
      </c>
      <c r="DN60" t="e">
        <f>AND(#REF!,"AAAAAHb/7XU=")</f>
        <v>#REF!</v>
      </c>
      <c r="DO60" t="e">
        <f>AND(#REF!,"AAAAAHb/7XY=")</f>
        <v>#REF!</v>
      </c>
      <c r="DP60" t="e">
        <f>AND(#REF!,"AAAAAHb/7Xc=")</f>
        <v>#REF!</v>
      </c>
      <c r="DQ60" t="e">
        <f>AND(#REF!,"AAAAAHb/7Xg=")</f>
        <v>#REF!</v>
      </c>
      <c r="DR60" t="e">
        <f>AND(#REF!,"AAAAAHb/7Xk=")</f>
        <v>#REF!</v>
      </c>
      <c r="DS60" t="e">
        <f>AND(#REF!,"AAAAAHb/7Xo=")</f>
        <v>#REF!</v>
      </c>
      <c r="DT60" t="e">
        <f>AND(#REF!,"AAAAAHb/7Xs=")</f>
        <v>#REF!</v>
      </c>
      <c r="DU60" t="e">
        <f>AND(#REF!,"AAAAAHb/7Xw=")</f>
        <v>#REF!</v>
      </c>
      <c r="DV60" t="e">
        <f>AND(#REF!,"AAAAAHb/7X0=")</f>
        <v>#REF!</v>
      </c>
      <c r="DW60" t="e">
        <f>AND(#REF!,"AAAAAHb/7X4=")</f>
        <v>#REF!</v>
      </c>
      <c r="DX60" t="e">
        <f>AND(#REF!,"AAAAAHb/7X8=")</f>
        <v>#REF!</v>
      </c>
      <c r="DY60" t="e">
        <f>AND(#REF!,"AAAAAHb/7YA=")</f>
        <v>#REF!</v>
      </c>
      <c r="DZ60" t="e">
        <f>AND(#REF!,"AAAAAHb/7YE=")</f>
        <v>#REF!</v>
      </c>
      <c r="EA60" t="e">
        <f>AND(#REF!,"AAAAAHb/7YI=")</f>
        <v>#REF!</v>
      </c>
      <c r="EB60" t="e">
        <f>AND(#REF!,"AAAAAHb/7YM=")</f>
        <v>#REF!</v>
      </c>
      <c r="EC60" t="e">
        <f>AND(#REF!,"AAAAAHb/7YQ=")</f>
        <v>#REF!</v>
      </c>
      <c r="ED60" t="e">
        <f>AND(#REF!,"AAAAAHb/7YU=")</f>
        <v>#REF!</v>
      </c>
      <c r="EE60" t="e">
        <f>AND(#REF!,"AAAAAHb/7YY=")</f>
        <v>#REF!</v>
      </c>
      <c r="EF60" t="e">
        <f>AND(#REF!,"AAAAAHb/7Yc=")</f>
        <v>#REF!</v>
      </c>
      <c r="EG60" t="e">
        <f>AND(#REF!,"AAAAAHb/7Yg=")</f>
        <v>#REF!</v>
      </c>
      <c r="EH60" t="e">
        <f>AND(#REF!,"AAAAAHb/7Yk=")</f>
        <v>#REF!</v>
      </c>
      <c r="EI60" t="e">
        <f>AND(#REF!,"AAAAAHb/7Yo=")</f>
        <v>#REF!</v>
      </c>
      <c r="EJ60" t="e">
        <f>AND(#REF!,"AAAAAHb/7Ys=")</f>
        <v>#REF!</v>
      </c>
      <c r="EK60" t="e">
        <f>AND(#REF!,"AAAAAHb/7Yw=")</f>
        <v>#REF!</v>
      </c>
      <c r="EL60" t="e">
        <f>AND(#REF!,"AAAAAHb/7Y0=")</f>
        <v>#REF!</v>
      </c>
      <c r="EM60" t="e">
        <f>AND(#REF!,"AAAAAHb/7Y4=")</f>
        <v>#REF!</v>
      </c>
      <c r="EN60" t="e">
        <f>AND(#REF!,"AAAAAHb/7Y8=")</f>
        <v>#REF!</v>
      </c>
      <c r="EO60" t="e">
        <f>AND(#REF!,"AAAAAHb/7ZA=")</f>
        <v>#REF!</v>
      </c>
      <c r="EP60" t="e">
        <f>AND(#REF!,"AAAAAHb/7ZE=")</f>
        <v>#REF!</v>
      </c>
      <c r="EQ60" t="e">
        <f>AND(#REF!,"AAAAAHb/7ZI=")</f>
        <v>#REF!</v>
      </c>
      <c r="ER60" t="e">
        <f>AND(#REF!,"AAAAAHb/7ZM=")</f>
        <v>#REF!</v>
      </c>
      <c r="ES60" t="e">
        <f>AND(#REF!,"AAAAAHb/7ZQ=")</f>
        <v>#REF!</v>
      </c>
      <c r="ET60" t="e">
        <f>AND(#REF!,"AAAAAHb/7ZU=")</f>
        <v>#REF!</v>
      </c>
      <c r="EU60" t="e">
        <f>AND(#REF!,"AAAAAHb/7ZY=")</f>
        <v>#REF!</v>
      </c>
      <c r="EV60" t="e">
        <f>AND(#REF!,"AAAAAHb/7Zc=")</f>
        <v>#REF!</v>
      </c>
      <c r="EW60" t="e">
        <f>AND(#REF!,"AAAAAHb/7Zg=")</f>
        <v>#REF!</v>
      </c>
      <c r="EX60" t="e">
        <f>AND(#REF!,"AAAAAHb/7Zk=")</f>
        <v>#REF!</v>
      </c>
      <c r="EY60" t="e">
        <f>AND(#REF!,"AAAAAHb/7Zo=")</f>
        <v>#REF!</v>
      </c>
      <c r="EZ60" t="e">
        <f>AND(#REF!,"AAAAAHb/7Zs=")</f>
        <v>#REF!</v>
      </c>
      <c r="FA60" t="e">
        <f>AND(#REF!,"AAAAAHb/7Zw=")</f>
        <v>#REF!</v>
      </c>
      <c r="FB60" t="e">
        <f>AND(#REF!,"AAAAAHb/7Z0=")</f>
        <v>#REF!</v>
      </c>
      <c r="FC60" t="e">
        <f>AND(#REF!,"AAAAAHb/7Z4=")</f>
        <v>#REF!</v>
      </c>
      <c r="FD60" t="e">
        <f>AND(#REF!,"AAAAAHb/7Z8=")</f>
        <v>#REF!</v>
      </c>
      <c r="FE60" t="e">
        <f>AND(#REF!,"AAAAAHb/7aA=")</f>
        <v>#REF!</v>
      </c>
      <c r="FF60" t="e">
        <f>AND(#REF!,"AAAAAHb/7aE=")</f>
        <v>#REF!</v>
      </c>
      <c r="FG60" t="e">
        <f>AND(#REF!,"AAAAAHb/7aI=")</f>
        <v>#REF!</v>
      </c>
      <c r="FH60" t="e">
        <f>AND(#REF!,"AAAAAHb/7aM=")</f>
        <v>#REF!</v>
      </c>
      <c r="FI60" t="e">
        <f>AND(#REF!,"AAAAAHb/7aQ=")</f>
        <v>#REF!</v>
      </c>
      <c r="FJ60" t="e">
        <f>IF(#REF!,"AAAAAHb/7aU=",0)</f>
        <v>#REF!</v>
      </c>
      <c r="FK60" t="e">
        <f>AND(#REF!,"AAAAAHb/7aY=")</f>
        <v>#REF!</v>
      </c>
      <c r="FL60" t="e">
        <f>AND(#REF!,"AAAAAHb/7ac=")</f>
        <v>#REF!</v>
      </c>
      <c r="FM60" t="e">
        <f>AND(#REF!,"AAAAAHb/7ag=")</f>
        <v>#REF!</v>
      </c>
      <c r="FN60" t="e">
        <f>AND(#REF!,"AAAAAHb/7ak=")</f>
        <v>#REF!</v>
      </c>
      <c r="FO60" t="e">
        <f>AND(#REF!,"AAAAAHb/7ao=")</f>
        <v>#REF!</v>
      </c>
      <c r="FP60" t="e">
        <f>AND(#REF!,"AAAAAHb/7as=")</f>
        <v>#REF!</v>
      </c>
      <c r="FQ60" t="e">
        <f>AND(#REF!,"AAAAAHb/7aw=")</f>
        <v>#REF!</v>
      </c>
      <c r="FR60" t="e">
        <f>AND(#REF!,"AAAAAHb/7a0=")</f>
        <v>#REF!</v>
      </c>
      <c r="FS60" t="e">
        <f>AND(#REF!,"AAAAAHb/7a4=")</f>
        <v>#REF!</v>
      </c>
      <c r="FT60" t="e">
        <f>AND(#REF!,"AAAAAHb/7a8=")</f>
        <v>#REF!</v>
      </c>
      <c r="FU60" t="e">
        <f>AND(#REF!,"AAAAAHb/7bA=")</f>
        <v>#REF!</v>
      </c>
      <c r="FV60" t="e">
        <f>AND(#REF!,"AAAAAHb/7bE=")</f>
        <v>#REF!</v>
      </c>
      <c r="FW60" t="e">
        <f>AND(#REF!,"AAAAAHb/7bI=")</f>
        <v>#REF!</v>
      </c>
      <c r="FX60" t="e">
        <f>AND(#REF!,"AAAAAHb/7bM=")</f>
        <v>#REF!</v>
      </c>
      <c r="FY60" t="e">
        <f>AND(#REF!,"AAAAAHb/7bQ=")</f>
        <v>#REF!</v>
      </c>
      <c r="FZ60" t="e">
        <f>AND(#REF!,"AAAAAHb/7bU=")</f>
        <v>#REF!</v>
      </c>
      <c r="GA60" t="e">
        <f>AND(#REF!,"AAAAAHb/7bY=")</f>
        <v>#REF!</v>
      </c>
      <c r="GB60" t="e">
        <f>AND(#REF!,"AAAAAHb/7bc=")</f>
        <v>#REF!</v>
      </c>
      <c r="GC60" t="e">
        <f>AND(#REF!,"AAAAAHb/7bg=")</f>
        <v>#REF!</v>
      </c>
      <c r="GD60" t="e">
        <f>AND(#REF!,"AAAAAHb/7bk=")</f>
        <v>#REF!</v>
      </c>
      <c r="GE60" t="e">
        <f>AND(#REF!,"AAAAAHb/7bo=")</f>
        <v>#REF!</v>
      </c>
      <c r="GF60" t="e">
        <f>AND(#REF!,"AAAAAHb/7bs=")</f>
        <v>#REF!</v>
      </c>
      <c r="GG60" t="e">
        <f>AND(#REF!,"AAAAAHb/7bw=")</f>
        <v>#REF!</v>
      </c>
      <c r="GH60" t="e">
        <f>AND(#REF!,"AAAAAHb/7b0=")</f>
        <v>#REF!</v>
      </c>
      <c r="GI60" t="e">
        <f>AND(#REF!,"AAAAAHb/7b4=")</f>
        <v>#REF!</v>
      </c>
      <c r="GJ60" t="e">
        <f>AND(#REF!,"AAAAAHb/7b8=")</f>
        <v>#REF!</v>
      </c>
      <c r="GK60" t="e">
        <f>AND(#REF!,"AAAAAHb/7cA=")</f>
        <v>#REF!</v>
      </c>
      <c r="GL60" t="e">
        <f>AND(#REF!,"AAAAAHb/7cE=")</f>
        <v>#REF!</v>
      </c>
      <c r="GM60" t="e">
        <f>AND(#REF!,"AAAAAHb/7cI=")</f>
        <v>#REF!</v>
      </c>
      <c r="GN60" t="e">
        <f>AND(#REF!,"AAAAAHb/7cM=")</f>
        <v>#REF!</v>
      </c>
      <c r="GO60" t="e">
        <f>AND(#REF!,"AAAAAHb/7cQ=")</f>
        <v>#REF!</v>
      </c>
      <c r="GP60" t="e">
        <f>AND(#REF!,"AAAAAHb/7cU=")</f>
        <v>#REF!</v>
      </c>
      <c r="GQ60" t="e">
        <f>AND(#REF!,"AAAAAHb/7cY=")</f>
        <v>#REF!</v>
      </c>
      <c r="GR60" t="e">
        <f>AND(#REF!,"AAAAAHb/7cc=")</f>
        <v>#REF!</v>
      </c>
      <c r="GS60" t="e">
        <f>AND(#REF!,"AAAAAHb/7cg=")</f>
        <v>#REF!</v>
      </c>
      <c r="GT60" t="e">
        <f>AND(#REF!,"AAAAAHb/7ck=")</f>
        <v>#REF!</v>
      </c>
      <c r="GU60" t="e">
        <f>AND(#REF!,"AAAAAHb/7co=")</f>
        <v>#REF!</v>
      </c>
      <c r="GV60" t="e">
        <f>AND(#REF!,"AAAAAHb/7cs=")</f>
        <v>#REF!</v>
      </c>
      <c r="GW60" t="e">
        <f>AND(#REF!,"AAAAAHb/7cw=")</f>
        <v>#REF!</v>
      </c>
      <c r="GX60" t="e">
        <f>AND(#REF!,"AAAAAHb/7c0=")</f>
        <v>#REF!</v>
      </c>
      <c r="GY60" t="e">
        <f>AND(#REF!,"AAAAAHb/7c4=")</f>
        <v>#REF!</v>
      </c>
      <c r="GZ60" t="e">
        <f>AND(#REF!,"AAAAAHb/7c8=")</f>
        <v>#REF!</v>
      </c>
      <c r="HA60" t="e">
        <f>AND(#REF!,"AAAAAHb/7dA=")</f>
        <v>#REF!</v>
      </c>
      <c r="HB60" t="e">
        <f>AND(#REF!,"AAAAAHb/7dE=")</f>
        <v>#REF!</v>
      </c>
      <c r="HC60" t="e">
        <f>AND(#REF!,"AAAAAHb/7dI=")</f>
        <v>#REF!</v>
      </c>
      <c r="HD60" t="e">
        <f>AND(#REF!,"AAAAAHb/7dM=")</f>
        <v>#REF!</v>
      </c>
      <c r="HE60" t="e">
        <f>AND(#REF!,"AAAAAHb/7dQ=")</f>
        <v>#REF!</v>
      </c>
      <c r="HF60" t="e">
        <f>AND(#REF!,"AAAAAHb/7dU=")</f>
        <v>#REF!</v>
      </c>
      <c r="HG60" t="e">
        <f>AND(#REF!,"AAAAAHb/7dY=")</f>
        <v>#REF!</v>
      </c>
      <c r="HH60" t="e">
        <f>AND(#REF!,"AAAAAHb/7dc=")</f>
        <v>#REF!</v>
      </c>
      <c r="HI60" t="e">
        <f>AND(#REF!,"AAAAAHb/7dg=")</f>
        <v>#REF!</v>
      </c>
      <c r="HJ60" t="e">
        <f>AND(#REF!,"AAAAAHb/7dk=")</f>
        <v>#REF!</v>
      </c>
      <c r="HK60" t="e">
        <f>AND(#REF!,"AAAAAHb/7do=")</f>
        <v>#REF!</v>
      </c>
      <c r="HL60" t="e">
        <f>AND(#REF!,"AAAAAHb/7ds=")</f>
        <v>#REF!</v>
      </c>
      <c r="HM60" t="e">
        <f>IF(#REF!,"AAAAAHb/7dw=",0)</f>
        <v>#REF!</v>
      </c>
      <c r="HN60" t="e">
        <f>AND(#REF!,"AAAAAHb/7d0=")</f>
        <v>#REF!</v>
      </c>
      <c r="HO60" t="e">
        <f>AND(#REF!,"AAAAAHb/7d4=")</f>
        <v>#REF!</v>
      </c>
      <c r="HP60" t="e">
        <f>AND(#REF!,"AAAAAHb/7d8=")</f>
        <v>#REF!</v>
      </c>
      <c r="HQ60" t="e">
        <f>AND(#REF!,"AAAAAHb/7eA=")</f>
        <v>#REF!</v>
      </c>
      <c r="HR60" t="e">
        <f>AND(#REF!,"AAAAAHb/7eE=")</f>
        <v>#REF!</v>
      </c>
      <c r="HS60" t="e">
        <f>AND(#REF!,"AAAAAHb/7eI=")</f>
        <v>#REF!</v>
      </c>
      <c r="HT60" t="e">
        <f>AND(#REF!,"AAAAAHb/7eM=")</f>
        <v>#REF!</v>
      </c>
      <c r="HU60" t="e">
        <f>AND(#REF!,"AAAAAHb/7eQ=")</f>
        <v>#REF!</v>
      </c>
      <c r="HV60" t="e">
        <f>AND(#REF!,"AAAAAHb/7eU=")</f>
        <v>#REF!</v>
      </c>
      <c r="HW60" t="e">
        <f>AND(#REF!,"AAAAAHb/7eY=")</f>
        <v>#REF!</v>
      </c>
      <c r="HX60" t="e">
        <f>AND(#REF!,"AAAAAHb/7ec=")</f>
        <v>#REF!</v>
      </c>
      <c r="HY60" t="e">
        <f>AND(#REF!,"AAAAAHb/7eg=")</f>
        <v>#REF!</v>
      </c>
      <c r="HZ60" t="e">
        <f>AND(#REF!,"AAAAAHb/7ek=")</f>
        <v>#REF!</v>
      </c>
      <c r="IA60" t="e">
        <f>AND(#REF!,"AAAAAHb/7eo=")</f>
        <v>#REF!</v>
      </c>
      <c r="IB60" t="e">
        <f>AND(#REF!,"AAAAAHb/7es=")</f>
        <v>#REF!</v>
      </c>
      <c r="IC60" t="e">
        <f>AND(#REF!,"AAAAAHb/7ew=")</f>
        <v>#REF!</v>
      </c>
      <c r="ID60" t="e">
        <f>AND(#REF!,"AAAAAHb/7e0=")</f>
        <v>#REF!</v>
      </c>
      <c r="IE60" t="e">
        <f>AND(#REF!,"AAAAAHb/7e4=")</f>
        <v>#REF!</v>
      </c>
      <c r="IF60" t="e">
        <f>AND(#REF!,"AAAAAHb/7e8=")</f>
        <v>#REF!</v>
      </c>
      <c r="IG60" t="e">
        <f>AND(#REF!,"AAAAAHb/7fA=")</f>
        <v>#REF!</v>
      </c>
      <c r="IH60" t="e">
        <f>AND(#REF!,"AAAAAHb/7fE=")</f>
        <v>#REF!</v>
      </c>
      <c r="II60" t="e">
        <f>AND(#REF!,"AAAAAHb/7fI=")</f>
        <v>#REF!</v>
      </c>
      <c r="IJ60" t="e">
        <f>AND(#REF!,"AAAAAHb/7fM=")</f>
        <v>#REF!</v>
      </c>
      <c r="IK60" t="e">
        <f>AND(#REF!,"AAAAAHb/7fQ=")</f>
        <v>#REF!</v>
      </c>
      <c r="IL60" t="e">
        <f>AND(#REF!,"AAAAAHb/7fU=")</f>
        <v>#REF!</v>
      </c>
      <c r="IM60" t="e">
        <f>AND(#REF!,"AAAAAHb/7fY=")</f>
        <v>#REF!</v>
      </c>
      <c r="IN60" t="e">
        <f>AND(#REF!,"AAAAAHb/7fc=")</f>
        <v>#REF!</v>
      </c>
      <c r="IO60" t="e">
        <f>AND(#REF!,"AAAAAHb/7fg=")</f>
        <v>#REF!</v>
      </c>
      <c r="IP60" t="e">
        <f>AND(#REF!,"AAAAAHb/7fk=")</f>
        <v>#REF!</v>
      </c>
      <c r="IQ60" t="e">
        <f>AND(#REF!,"AAAAAHb/7fo=")</f>
        <v>#REF!</v>
      </c>
      <c r="IR60" t="e">
        <f>AND(#REF!,"AAAAAHb/7fs=")</f>
        <v>#REF!</v>
      </c>
      <c r="IS60" t="e">
        <f>AND(#REF!,"AAAAAHb/7fw=")</f>
        <v>#REF!</v>
      </c>
      <c r="IT60" t="e">
        <f>AND(#REF!,"AAAAAHb/7f0=")</f>
        <v>#REF!</v>
      </c>
      <c r="IU60" t="e">
        <f>AND(#REF!,"AAAAAHb/7f4=")</f>
        <v>#REF!</v>
      </c>
      <c r="IV60" t="e">
        <f>AND(#REF!,"AAAAAHb/7f8=")</f>
        <v>#REF!</v>
      </c>
    </row>
    <row r="61" spans="1:256" x14ac:dyDescent="0.25">
      <c r="A61" t="e">
        <f>AND(#REF!,"AAAAAH3/ewA=")</f>
        <v>#REF!</v>
      </c>
      <c r="B61" t="e">
        <f>AND(#REF!,"AAAAAH3/ewE=")</f>
        <v>#REF!</v>
      </c>
      <c r="C61" t="e">
        <f>AND(#REF!,"AAAAAH3/ewI=")</f>
        <v>#REF!</v>
      </c>
      <c r="D61" t="e">
        <f>AND(#REF!,"AAAAAH3/ewM=")</f>
        <v>#REF!</v>
      </c>
      <c r="E61" t="e">
        <f>AND(#REF!,"AAAAAH3/ewQ=")</f>
        <v>#REF!</v>
      </c>
      <c r="F61" t="e">
        <f>AND(#REF!,"AAAAAH3/ewU=")</f>
        <v>#REF!</v>
      </c>
      <c r="G61" t="e">
        <f>AND(#REF!,"AAAAAH3/ewY=")</f>
        <v>#REF!</v>
      </c>
      <c r="H61" t="e">
        <f>AND(#REF!,"AAAAAH3/ewc=")</f>
        <v>#REF!</v>
      </c>
      <c r="I61" t="e">
        <f>AND(#REF!,"AAAAAH3/ewg=")</f>
        <v>#REF!</v>
      </c>
      <c r="J61" t="e">
        <f>AND(#REF!,"AAAAAH3/ewk=")</f>
        <v>#REF!</v>
      </c>
      <c r="K61" t="e">
        <f>AND(#REF!,"AAAAAH3/ewo=")</f>
        <v>#REF!</v>
      </c>
      <c r="L61" t="e">
        <f>AND(#REF!,"AAAAAH3/ews=")</f>
        <v>#REF!</v>
      </c>
      <c r="M61" t="e">
        <f>AND(#REF!,"AAAAAH3/eww=")</f>
        <v>#REF!</v>
      </c>
      <c r="N61" t="e">
        <f>AND(#REF!,"AAAAAH3/ew0=")</f>
        <v>#REF!</v>
      </c>
      <c r="O61" t="e">
        <f>AND(#REF!,"AAAAAH3/ew4=")</f>
        <v>#REF!</v>
      </c>
      <c r="P61" t="e">
        <f>AND(#REF!,"AAAAAH3/ew8=")</f>
        <v>#REF!</v>
      </c>
      <c r="Q61" t="e">
        <f>AND(#REF!,"AAAAAH3/exA=")</f>
        <v>#REF!</v>
      </c>
      <c r="R61" t="e">
        <f>AND(#REF!,"AAAAAH3/exE=")</f>
        <v>#REF!</v>
      </c>
      <c r="S61" t="e">
        <f>AND(#REF!,"AAAAAH3/exI=")</f>
        <v>#REF!</v>
      </c>
      <c r="T61" t="e">
        <f>IF(#REF!,"AAAAAH3/exM=",0)</f>
        <v>#REF!</v>
      </c>
      <c r="U61" t="e">
        <f>AND(#REF!,"AAAAAH3/exQ=")</f>
        <v>#REF!</v>
      </c>
      <c r="V61" t="e">
        <f>AND(#REF!,"AAAAAH3/exU=")</f>
        <v>#REF!</v>
      </c>
      <c r="W61" t="e">
        <f>AND(#REF!,"AAAAAH3/exY=")</f>
        <v>#REF!</v>
      </c>
      <c r="X61" t="e">
        <f>AND(#REF!,"AAAAAH3/exc=")</f>
        <v>#REF!</v>
      </c>
      <c r="Y61" t="e">
        <f>AND(#REF!,"AAAAAH3/exg=")</f>
        <v>#REF!</v>
      </c>
      <c r="Z61" t="e">
        <f>AND(#REF!,"AAAAAH3/exk=")</f>
        <v>#REF!</v>
      </c>
      <c r="AA61" t="e">
        <f>AND(#REF!,"AAAAAH3/exo=")</f>
        <v>#REF!</v>
      </c>
      <c r="AB61" t="e">
        <f>AND(#REF!,"AAAAAH3/exs=")</f>
        <v>#REF!</v>
      </c>
      <c r="AC61" t="e">
        <f>AND(#REF!,"AAAAAH3/exw=")</f>
        <v>#REF!</v>
      </c>
      <c r="AD61" t="e">
        <f>AND(#REF!,"AAAAAH3/ex0=")</f>
        <v>#REF!</v>
      </c>
      <c r="AE61" t="e">
        <f>AND(#REF!,"AAAAAH3/ex4=")</f>
        <v>#REF!</v>
      </c>
      <c r="AF61" t="e">
        <f>AND(#REF!,"AAAAAH3/ex8=")</f>
        <v>#REF!</v>
      </c>
      <c r="AG61" t="e">
        <f>AND(#REF!,"AAAAAH3/eyA=")</f>
        <v>#REF!</v>
      </c>
      <c r="AH61" t="e">
        <f>AND(#REF!,"AAAAAH3/eyE=")</f>
        <v>#REF!</v>
      </c>
      <c r="AI61" t="e">
        <f>AND(#REF!,"AAAAAH3/eyI=")</f>
        <v>#REF!</v>
      </c>
      <c r="AJ61" t="e">
        <f>AND(#REF!,"AAAAAH3/eyM=")</f>
        <v>#REF!</v>
      </c>
      <c r="AK61" t="e">
        <f>AND(#REF!,"AAAAAH3/eyQ=")</f>
        <v>#REF!</v>
      </c>
      <c r="AL61" t="e">
        <f>AND(#REF!,"AAAAAH3/eyU=")</f>
        <v>#REF!</v>
      </c>
      <c r="AM61" t="e">
        <f>AND(#REF!,"AAAAAH3/eyY=")</f>
        <v>#REF!</v>
      </c>
      <c r="AN61" t="e">
        <f>AND(#REF!,"AAAAAH3/eyc=")</f>
        <v>#REF!</v>
      </c>
      <c r="AO61" t="e">
        <f>AND(#REF!,"AAAAAH3/eyg=")</f>
        <v>#REF!</v>
      </c>
      <c r="AP61" t="e">
        <f>AND(#REF!,"AAAAAH3/eyk=")</f>
        <v>#REF!</v>
      </c>
      <c r="AQ61" t="e">
        <f>AND(#REF!,"AAAAAH3/eyo=")</f>
        <v>#REF!</v>
      </c>
      <c r="AR61" t="e">
        <f>AND(#REF!,"AAAAAH3/eys=")</f>
        <v>#REF!</v>
      </c>
      <c r="AS61" t="e">
        <f>AND(#REF!,"AAAAAH3/eyw=")</f>
        <v>#REF!</v>
      </c>
      <c r="AT61" t="e">
        <f>AND(#REF!,"AAAAAH3/ey0=")</f>
        <v>#REF!</v>
      </c>
      <c r="AU61" t="e">
        <f>AND(#REF!,"AAAAAH3/ey4=")</f>
        <v>#REF!</v>
      </c>
      <c r="AV61" t="e">
        <f>AND(#REF!,"AAAAAH3/ey8=")</f>
        <v>#REF!</v>
      </c>
      <c r="AW61" t="e">
        <f>AND(#REF!,"AAAAAH3/ezA=")</f>
        <v>#REF!</v>
      </c>
      <c r="AX61" t="e">
        <f>AND(#REF!,"AAAAAH3/ezE=")</f>
        <v>#REF!</v>
      </c>
      <c r="AY61" t="e">
        <f>AND(#REF!,"AAAAAH3/ezI=")</f>
        <v>#REF!</v>
      </c>
      <c r="AZ61" t="e">
        <f>AND(#REF!,"AAAAAH3/ezM=")</f>
        <v>#REF!</v>
      </c>
      <c r="BA61" t="e">
        <f>AND(#REF!,"AAAAAH3/ezQ=")</f>
        <v>#REF!</v>
      </c>
      <c r="BB61" t="e">
        <f>AND(#REF!,"AAAAAH3/ezU=")</f>
        <v>#REF!</v>
      </c>
      <c r="BC61" t="e">
        <f>AND(#REF!,"AAAAAH3/ezY=")</f>
        <v>#REF!</v>
      </c>
      <c r="BD61" t="e">
        <f>AND(#REF!,"AAAAAH3/ezc=")</f>
        <v>#REF!</v>
      </c>
      <c r="BE61" t="e">
        <f>AND(#REF!,"AAAAAH3/ezg=")</f>
        <v>#REF!</v>
      </c>
      <c r="BF61" t="e">
        <f>AND(#REF!,"AAAAAH3/ezk=")</f>
        <v>#REF!</v>
      </c>
      <c r="BG61" t="e">
        <f>AND(#REF!,"AAAAAH3/ezo=")</f>
        <v>#REF!</v>
      </c>
      <c r="BH61" t="e">
        <f>AND(#REF!,"AAAAAH3/ezs=")</f>
        <v>#REF!</v>
      </c>
      <c r="BI61" t="e">
        <f>AND(#REF!,"AAAAAH3/ezw=")</f>
        <v>#REF!</v>
      </c>
      <c r="BJ61" t="e">
        <f>AND(#REF!,"AAAAAH3/ez0=")</f>
        <v>#REF!</v>
      </c>
      <c r="BK61" t="e">
        <f>AND(#REF!,"AAAAAH3/ez4=")</f>
        <v>#REF!</v>
      </c>
      <c r="BL61" t="e">
        <f>AND(#REF!,"AAAAAH3/ez8=")</f>
        <v>#REF!</v>
      </c>
      <c r="BM61" t="e">
        <f>AND(#REF!,"AAAAAH3/e0A=")</f>
        <v>#REF!</v>
      </c>
      <c r="BN61" t="e">
        <f>AND(#REF!,"AAAAAH3/e0E=")</f>
        <v>#REF!</v>
      </c>
      <c r="BO61" t="e">
        <f>AND(#REF!,"AAAAAH3/e0I=")</f>
        <v>#REF!</v>
      </c>
      <c r="BP61" t="e">
        <f>AND(#REF!,"AAAAAH3/e0M=")</f>
        <v>#REF!</v>
      </c>
      <c r="BQ61" t="e">
        <f>AND(#REF!,"AAAAAH3/e0Q=")</f>
        <v>#REF!</v>
      </c>
      <c r="BR61" t="e">
        <f>AND(#REF!,"AAAAAH3/e0U=")</f>
        <v>#REF!</v>
      </c>
      <c r="BS61" t="e">
        <f>AND(#REF!,"AAAAAH3/e0Y=")</f>
        <v>#REF!</v>
      </c>
      <c r="BT61" t="e">
        <f>AND(#REF!,"AAAAAH3/e0c=")</f>
        <v>#REF!</v>
      </c>
      <c r="BU61" t="e">
        <f>AND(#REF!,"AAAAAH3/e0g=")</f>
        <v>#REF!</v>
      </c>
      <c r="BV61" t="e">
        <f>AND(#REF!,"AAAAAH3/e0k=")</f>
        <v>#REF!</v>
      </c>
      <c r="BW61" t="e">
        <f>IF(#REF!,"AAAAAH3/e0o=",0)</f>
        <v>#REF!</v>
      </c>
      <c r="BX61" t="e">
        <f>AND(#REF!,"AAAAAH3/e0s=")</f>
        <v>#REF!</v>
      </c>
      <c r="BY61" t="e">
        <f>AND(#REF!,"AAAAAH3/e0w=")</f>
        <v>#REF!</v>
      </c>
      <c r="BZ61" t="e">
        <f>AND(#REF!,"AAAAAH3/e00=")</f>
        <v>#REF!</v>
      </c>
      <c r="CA61" t="e">
        <f>AND(#REF!,"AAAAAH3/e04=")</f>
        <v>#REF!</v>
      </c>
      <c r="CB61" t="e">
        <f>AND(#REF!,"AAAAAH3/e08=")</f>
        <v>#REF!</v>
      </c>
      <c r="CC61" t="e">
        <f>AND(#REF!,"AAAAAH3/e1A=")</f>
        <v>#REF!</v>
      </c>
      <c r="CD61" t="e">
        <f>AND(#REF!,"AAAAAH3/e1E=")</f>
        <v>#REF!</v>
      </c>
      <c r="CE61" t="e">
        <f>AND(#REF!,"AAAAAH3/e1I=")</f>
        <v>#REF!</v>
      </c>
      <c r="CF61" t="e">
        <f>AND(#REF!,"AAAAAH3/e1M=")</f>
        <v>#REF!</v>
      </c>
      <c r="CG61" t="e">
        <f>AND(#REF!,"AAAAAH3/e1Q=")</f>
        <v>#REF!</v>
      </c>
      <c r="CH61" t="e">
        <f>AND(#REF!,"AAAAAH3/e1U=")</f>
        <v>#REF!</v>
      </c>
      <c r="CI61" t="e">
        <f>AND(#REF!,"AAAAAH3/e1Y=")</f>
        <v>#REF!</v>
      </c>
      <c r="CJ61" t="e">
        <f>AND(#REF!,"AAAAAH3/e1c=")</f>
        <v>#REF!</v>
      </c>
      <c r="CK61" t="e">
        <f>AND(#REF!,"AAAAAH3/e1g=")</f>
        <v>#REF!</v>
      </c>
      <c r="CL61" t="e">
        <f>AND(#REF!,"AAAAAH3/e1k=")</f>
        <v>#REF!</v>
      </c>
      <c r="CM61" t="e">
        <f>AND(#REF!,"AAAAAH3/e1o=")</f>
        <v>#REF!</v>
      </c>
      <c r="CN61" t="e">
        <f>AND(#REF!,"AAAAAH3/e1s=")</f>
        <v>#REF!</v>
      </c>
      <c r="CO61" t="e">
        <f>AND(#REF!,"AAAAAH3/e1w=")</f>
        <v>#REF!</v>
      </c>
      <c r="CP61" t="e">
        <f>AND(#REF!,"AAAAAH3/e10=")</f>
        <v>#REF!</v>
      </c>
      <c r="CQ61" t="e">
        <f>AND(#REF!,"AAAAAH3/e14=")</f>
        <v>#REF!</v>
      </c>
      <c r="CR61" t="e">
        <f>AND(#REF!,"AAAAAH3/e18=")</f>
        <v>#REF!</v>
      </c>
      <c r="CS61" t="e">
        <f>AND(#REF!,"AAAAAH3/e2A=")</f>
        <v>#REF!</v>
      </c>
      <c r="CT61" t="e">
        <f>AND(#REF!,"AAAAAH3/e2E=")</f>
        <v>#REF!</v>
      </c>
      <c r="CU61" t="e">
        <f>AND(#REF!,"AAAAAH3/e2I=")</f>
        <v>#REF!</v>
      </c>
      <c r="CV61" t="e">
        <f>AND(#REF!,"AAAAAH3/e2M=")</f>
        <v>#REF!</v>
      </c>
      <c r="CW61" t="e">
        <f>AND(#REF!,"AAAAAH3/e2Q=")</f>
        <v>#REF!</v>
      </c>
      <c r="CX61" t="e">
        <f>AND(#REF!,"AAAAAH3/e2U=")</f>
        <v>#REF!</v>
      </c>
      <c r="CY61" t="e">
        <f>AND(#REF!,"AAAAAH3/e2Y=")</f>
        <v>#REF!</v>
      </c>
      <c r="CZ61" t="e">
        <f>AND(#REF!,"AAAAAH3/e2c=")</f>
        <v>#REF!</v>
      </c>
      <c r="DA61" t="e">
        <f>AND(#REF!,"AAAAAH3/e2g=")</f>
        <v>#REF!</v>
      </c>
      <c r="DB61" t="e">
        <f>AND(#REF!,"AAAAAH3/e2k=")</f>
        <v>#REF!</v>
      </c>
      <c r="DC61" t="e">
        <f>AND(#REF!,"AAAAAH3/e2o=")</f>
        <v>#REF!</v>
      </c>
      <c r="DD61" t="e">
        <f>AND(#REF!,"AAAAAH3/e2s=")</f>
        <v>#REF!</v>
      </c>
      <c r="DE61" t="e">
        <f>AND(#REF!,"AAAAAH3/e2w=")</f>
        <v>#REF!</v>
      </c>
      <c r="DF61" t="e">
        <f>AND(#REF!,"AAAAAH3/e20=")</f>
        <v>#REF!</v>
      </c>
      <c r="DG61" t="e">
        <f>AND(#REF!,"AAAAAH3/e24=")</f>
        <v>#REF!</v>
      </c>
      <c r="DH61" t="e">
        <f>AND(#REF!,"AAAAAH3/e28=")</f>
        <v>#REF!</v>
      </c>
      <c r="DI61" t="e">
        <f>AND(#REF!,"AAAAAH3/e3A=")</f>
        <v>#REF!</v>
      </c>
      <c r="DJ61" t="e">
        <f>AND(#REF!,"AAAAAH3/e3E=")</f>
        <v>#REF!</v>
      </c>
      <c r="DK61" t="e">
        <f>AND(#REF!,"AAAAAH3/e3I=")</f>
        <v>#REF!</v>
      </c>
      <c r="DL61" t="e">
        <f>AND(#REF!,"AAAAAH3/e3M=")</f>
        <v>#REF!</v>
      </c>
      <c r="DM61" t="e">
        <f>AND(#REF!,"AAAAAH3/e3Q=")</f>
        <v>#REF!</v>
      </c>
      <c r="DN61" t="e">
        <f>AND(#REF!,"AAAAAH3/e3U=")</f>
        <v>#REF!</v>
      </c>
      <c r="DO61" t="e">
        <f>AND(#REF!,"AAAAAH3/e3Y=")</f>
        <v>#REF!</v>
      </c>
      <c r="DP61" t="e">
        <f>AND(#REF!,"AAAAAH3/e3c=")</f>
        <v>#REF!</v>
      </c>
      <c r="DQ61" t="e">
        <f>AND(#REF!,"AAAAAH3/e3g=")</f>
        <v>#REF!</v>
      </c>
      <c r="DR61" t="e">
        <f>AND(#REF!,"AAAAAH3/e3k=")</f>
        <v>#REF!</v>
      </c>
      <c r="DS61" t="e">
        <f>AND(#REF!,"AAAAAH3/e3o=")</f>
        <v>#REF!</v>
      </c>
      <c r="DT61" t="e">
        <f>AND(#REF!,"AAAAAH3/e3s=")</f>
        <v>#REF!</v>
      </c>
      <c r="DU61" t="e">
        <f>AND(#REF!,"AAAAAH3/e3w=")</f>
        <v>#REF!</v>
      </c>
      <c r="DV61" t="e">
        <f>AND(#REF!,"AAAAAH3/e30=")</f>
        <v>#REF!</v>
      </c>
      <c r="DW61" t="e">
        <f>AND(#REF!,"AAAAAH3/e34=")</f>
        <v>#REF!</v>
      </c>
      <c r="DX61" t="e">
        <f>AND(#REF!,"AAAAAH3/e38=")</f>
        <v>#REF!</v>
      </c>
      <c r="DY61" t="e">
        <f>AND(#REF!,"AAAAAH3/e4A=")</f>
        <v>#REF!</v>
      </c>
      <c r="DZ61" t="e">
        <f>IF(#REF!,"AAAAAH3/e4E=",0)</f>
        <v>#REF!</v>
      </c>
      <c r="EA61" t="e">
        <f>AND(#REF!,"AAAAAH3/e4I=")</f>
        <v>#REF!</v>
      </c>
      <c r="EB61" t="e">
        <f>AND(#REF!,"AAAAAH3/e4M=")</f>
        <v>#REF!</v>
      </c>
      <c r="EC61" t="e">
        <f>AND(#REF!,"AAAAAH3/e4Q=")</f>
        <v>#REF!</v>
      </c>
      <c r="ED61" t="e">
        <f>AND(#REF!,"AAAAAH3/e4U=")</f>
        <v>#REF!</v>
      </c>
      <c r="EE61" t="e">
        <f>AND(#REF!,"AAAAAH3/e4Y=")</f>
        <v>#REF!</v>
      </c>
      <c r="EF61" t="e">
        <f>AND(#REF!,"AAAAAH3/e4c=")</f>
        <v>#REF!</v>
      </c>
      <c r="EG61" t="e">
        <f>AND(#REF!,"AAAAAH3/e4g=")</f>
        <v>#REF!</v>
      </c>
      <c r="EH61" t="e">
        <f>AND(#REF!,"AAAAAH3/e4k=")</f>
        <v>#REF!</v>
      </c>
      <c r="EI61" t="e">
        <f>AND(#REF!,"AAAAAH3/e4o=")</f>
        <v>#REF!</v>
      </c>
      <c r="EJ61" t="e">
        <f>AND(#REF!,"AAAAAH3/e4s=")</f>
        <v>#REF!</v>
      </c>
      <c r="EK61" t="e">
        <f>AND(#REF!,"AAAAAH3/e4w=")</f>
        <v>#REF!</v>
      </c>
      <c r="EL61" t="e">
        <f>AND(#REF!,"AAAAAH3/e40=")</f>
        <v>#REF!</v>
      </c>
      <c r="EM61" t="e">
        <f>AND(#REF!,"AAAAAH3/e44=")</f>
        <v>#REF!</v>
      </c>
      <c r="EN61" t="e">
        <f>AND(#REF!,"AAAAAH3/e48=")</f>
        <v>#REF!</v>
      </c>
      <c r="EO61" t="e">
        <f>AND(#REF!,"AAAAAH3/e5A=")</f>
        <v>#REF!</v>
      </c>
      <c r="EP61" t="e">
        <f>AND(#REF!,"AAAAAH3/e5E=")</f>
        <v>#REF!</v>
      </c>
      <c r="EQ61" t="e">
        <f>AND(#REF!,"AAAAAH3/e5I=")</f>
        <v>#REF!</v>
      </c>
      <c r="ER61" t="e">
        <f>AND(#REF!,"AAAAAH3/e5M=")</f>
        <v>#REF!</v>
      </c>
      <c r="ES61" t="e">
        <f>AND(#REF!,"AAAAAH3/e5Q=")</f>
        <v>#REF!</v>
      </c>
      <c r="ET61" t="e">
        <f>AND(#REF!,"AAAAAH3/e5U=")</f>
        <v>#REF!</v>
      </c>
      <c r="EU61" t="e">
        <f>AND(#REF!,"AAAAAH3/e5Y=")</f>
        <v>#REF!</v>
      </c>
      <c r="EV61" t="e">
        <f>AND(#REF!,"AAAAAH3/e5c=")</f>
        <v>#REF!</v>
      </c>
      <c r="EW61" t="e">
        <f>AND(#REF!,"AAAAAH3/e5g=")</f>
        <v>#REF!</v>
      </c>
      <c r="EX61" t="e">
        <f>AND(#REF!,"AAAAAH3/e5k=")</f>
        <v>#REF!</v>
      </c>
      <c r="EY61" t="e">
        <f>AND(#REF!,"AAAAAH3/e5o=")</f>
        <v>#REF!</v>
      </c>
      <c r="EZ61" t="e">
        <f>AND(#REF!,"AAAAAH3/e5s=")</f>
        <v>#REF!</v>
      </c>
      <c r="FA61" t="e">
        <f>AND(#REF!,"AAAAAH3/e5w=")</f>
        <v>#REF!</v>
      </c>
      <c r="FB61" t="e">
        <f>AND(#REF!,"AAAAAH3/e50=")</f>
        <v>#REF!</v>
      </c>
      <c r="FC61" t="e">
        <f>AND(#REF!,"AAAAAH3/e54=")</f>
        <v>#REF!</v>
      </c>
      <c r="FD61" t="e">
        <f>AND(#REF!,"AAAAAH3/e58=")</f>
        <v>#REF!</v>
      </c>
      <c r="FE61" t="e">
        <f>AND(#REF!,"AAAAAH3/e6A=")</f>
        <v>#REF!</v>
      </c>
      <c r="FF61" t="e">
        <f>AND(#REF!,"AAAAAH3/e6E=")</f>
        <v>#REF!</v>
      </c>
      <c r="FG61" t="e">
        <f>AND(#REF!,"AAAAAH3/e6I=")</f>
        <v>#REF!</v>
      </c>
      <c r="FH61" t="e">
        <f>AND(#REF!,"AAAAAH3/e6M=")</f>
        <v>#REF!</v>
      </c>
      <c r="FI61" t="e">
        <f>AND(#REF!,"AAAAAH3/e6Q=")</f>
        <v>#REF!</v>
      </c>
      <c r="FJ61" t="e">
        <f>AND(#REF!,"AAAAAH3/e6U=")</f>
        <v>#REF!</v>
      </c>
      <c r="FK61" t="e">
        <f>AND(#REF!,"AAAAAH3/e6Y=")</f>
        <v>#REF!</v>
      </c>
      <c r="FL61" t="e">
        <f>AND(#REF!,"AAAAAH3/e6c=")</f>
        <v>#REF!</v>
      </c>
      <c r="FM61" t="e">
        <f>AND(#REF!,"AAAAAH3/e6g=")</f>
        <v>#REF!</v>
      </c>
      <c r="FN61" t="e">
        <f>AND(#REF!,"AAAAAH3/e6k=")</f>
        <v>#REF!</v>
      </c>
      <c r="FO61" t="e">
        <f>AND(#REF!,"AAAAAH3/e6o=")</f>
        <v>#REF!</v>
      </c>
      <c r="FP61" t="e">
        <f>AND(#REF!,"AAAAAH3/e6s=")</f>
        <v>#REF!</v>
      </c>
      <c r="FQ61" t="e">
        <f>AND(#REF!,"AAAAAH3/e6w=")</f>
        <v>#REF!</v>
      </c>
      <c r="FR61" t="e">
        <f>AND(#REF!,"AAAAAH3/e60=")</f>
        <v>#REF!</v>
      </c>
      <c r="FS61" t="e">
        <f>AND(#REF!,"AAAAAH3/e64=")</f>
        <v>#REF!</v>
      </c>
      <c r="FT61" t="e">
        <f>AND(#REF!,"AAAAAH3/e68=")</f>
        <v>#REF!</v>
      </c>
      <c r="FU61" t="e">
        <f>AND(#REF!,"AAAAAH3/e7A=")</f>
        <v>#REF!</v>
      </c>
      <c r="FV61" t="e">
        <f>AND(#REF!,"AAAAAH3/e7E=")</f>
        <v>#REF!</v>
      </c>
      <c r="FW61" t="e">
        <f>AND(#REF!,"AAAAAH3/e7I=")</f>
        <v>#REF!</v>
      </c>
      <c r="FX61" t="e">
        <f>AND(#REF!,"AAAAAH3/e7M=")</f>
        <v>#REF!</v>
      </c>
      <c r="FY61" t="e">
        <f>AND(#REF!,"AAAAAH3/e7Q=")</f>
        <v>#REF!</v>
      </c>
      <c r="FZ61" t="e">
        <f>AND(#REF!,"AAAAAH3/e7U=")</f>
        <v>#REF!</v>
      </c>
      <c r="GA61" t="e">
        <f>AND(#REF!,"AAAAAH3/e7Y=")</f>
        <v>#REF!</v>
      </c>
      <c r="GB61" t="e">
        <f>AND(#REF!,"AAAAAH3/e7c=")</f>
        <v>#REF!</v>
      </c>
      <c r="GC61" t="e">
        <f>IF(#REF!,"AAAAAH3/e7g=",0)</f>
        <v>#REF!</v>
      </c>
      <c r="GD61" t="e">
        <f>AND(#REF!,"AAAAAH3/e7k=")</f>
        <v>#REF!</v>
      </c>
      <c r="GE61" t="e">
        <f>AND(#REF!,"AAAAAH3/e7o=")</f>
        <v>#REF!</v>
      </c>
      <c r="GF61" t="e">
        <f>AND(#REF!,"AAAAAH3/e7s=")</f>
        <v>#REF!</v>
      </c>
      <c r="GG61" t="e">
        <f>AND(#REF!,"AAAAAH3/e7w=")</f>
        <v>#REF!</v>
      </c>
      <c r="GH61" t="e">
        <f>AND(#REF!,"AAAAAH3/e70=")</f>
        <v>#REF!</v>
      </c>
      <c r="GI61" t="e">
        <f>AND(#REF!,"AAAAAH3/e74=")</f>
        <v>#REF!</v>
      </c>
      <c r="GJ61" t="e">
        <f>AND(#REF!,"AAAAAH3/e78=")</f>
        <v>#REF!</v>
      </c>
      <c r="GK61" t="e">
        <f>AND(#REF!,"AAAAAH3/e8A=")</f>
        <v>#REF!</v>
      </c>
      <c r="GL61" t="e">
        <f>AND(#REF!,"AAAAAH3/e8E=")</f>
        <v>#REF!</v>
      </c>
      <c r="GM61" t="e">
        <f>AND(#REF!,"AAAAAH3/e8I=")</f>
        <v>#REF!</v>
      </c>
      <c r="GN61" t="e">
        <f>AND(#REF!,"AAAAAH3/e8M=")</f>
        <v>#REF!</v>
      </c>
      <c r="GO61" t="e">
        <f>AND(#REF!,"AAAAAH3/e8Q=")</f>
        <v>#REF!</v>
      </c>
      <c r="GP61" t="e">
        <f>AND(#REF!,"AAAAAH3/e8U=")</f>
        <v>#REF!</v>
      </c>
      <c r="GQ61" t="e">
        <f>AND(#REF!,"AAAAAH3/e8Y=")</f>
        <v>#REF!</v>
      </c>
      <c r="GR61" t="e">
        <f>AND(#REF!,"AAAAAH3/e8c=")</f>
        <v>#REF!</v>
      </c>
      <c r="GS61" t="e">
        <f>AND(#REF!,"AAAAAH3/e8g=")</f>
        <v>#REF!</v>
      </c>
      <c r="GT61" t="e">
        <f>AND(#REF!,"AAAAAH3/e8k=")</f>
        <v>#REF!</v>
      </c>
      <c r="GU61" t="e">
        <f>AND(#REF!,"AAAAAH3/e8o=")</f>
        <v>#REF!</v>
      </c>
      <c r="GV61" t="e">
        <f>AND(#REF!,"AAAAAH3/e8s=")</f>
        <v>#REF!</v>
      </c>
      <c r="GW61" t="e">
        <f>AND(#REF!,"AAAAAH3/e8w=")</f>
        <v>#REF!</v>
      </c>
      <c r="GX61" t="e">
        <f>AND(#REF!,"AAAAAH3/e80=")</f>
        <v>#REF!</v>
      </c>
      <c r="GY61" t="e">
        <f>AND(#REF!,"AAAAAH3/e84=")</f>
        <v>#REF!</v>
      </c>
      <c r="GZ61" t="e">
        <f>AND(#REF!,"AAAAAH3/e88=")</f>
        <v>#REF!</v>
      </c>
      <c r="HA61" t="e">
        <f>AND(#REF!,"AAAAAH3/e9A=")</f>
        <v>#REF!</v>
      </c>
      <c r="HB61" t="e">
        <f>AND(#REF!,"AAAAAH3/e9E=")</f>
        <v>#REF!</v>
      </c>
      <c r="HC61" t="e">
        <f>AND(#REF!,"AAAAAH3/e9I=")</f>
        <v>#REF!</v>
      </c>
      <c r="HD61" t="e">
        <f>AND(#REF!,"AAAAAH3/e9M=")</f>
        <v>#REF!</v>
      </c>
      <c r="HE61" t="e">
        <f>AND(#REF!,"AAAAAH3/e9Q=")</f>
        <v>#REF!</v>
      </c>
      <c r="HF61" t="e">
        <f>AND(#REF!,"AAAAAH3/e9U=")</f>
        <v>#REF!</v>
      </c>
      <c r="HG61" t="e">
        <f>AND(#REF!,"AAAAAH3/e9Y=")</f>
        <v>#REF!</v>
      </c>
      <c r="HH61" t="e">
        <f>AND(#REF!,"AAAAAH3/e9c=")</f>
        <v>#REF!</v>
      </c>
      <c r="HI61" t="e">
        <f>AND(#REF!,"AAAAAH3/e9g=")</f>
        <v>#REF!</v>
      </c>
      <c r="HJ61" t="e">
        <f>AND(#REF!,"AAAAAH3/e9k=")</f>
        <v>#REF!</v>
      </c>
      <c r="HK61" t="e">
        <f>AND(#REF!,"AAAAAH3/e9o=")</f>
        <v>#REF!</v>
      </c>
      <c r="HL61" t="e">
        <f>AND(#REF!,"AAAAAH3/e9s=")</f>
        <v>#REF!</v>
      </c>
      <c r="HM61" t="e">
        <f>AND(#REF!,"AAAAAH3/e9w=")</f>
        <v>#REF!</v>
      </c>
      <c r="HN61" t="e">
        <f>AND(#REF!,"AAAAAH3/e90=")</f>
        <v>#REF!</v>
      </c>
      <c r="HO61" t="e">
        <f>AND(#REF!,"AAAAAH3/e94=")</f>
        <v>#REF!</v>
      </c>
      <c r="HP61" t="e">
        <f>AND(#REF!,"AAAAAH3/e98=")</f>
        <v>#REF!</v>
      </c>
      <c r="HQ61" t="e">
        <f>AND(#REF!,"AAAAAH3/e+A=")</f>
        <v>#REF!</v>
      </c>
      <c r="HR61" t="e">
        <f>AND(#REF!,"AAAAAH3/e+E=")</f>
        <v>#REF!</v>
      </c>
      <c r="HS61" t="e">
        <f>AND(#REF!,"AAAAAH3/e+I=")</f>
        <v>#REF!</v>
      </c>
      <c r="HT61" t="e">
        <f>AND(#REF!,"AAAAAH3/e+M=")</f>
        <v>#REF!</v>
      </c>
      <c r="HU61" t="e">
        <f>AND(#REF!,"AAAAAH3/e+Q=")</f>
        <v>#REF!</v>
      </c>
      <c r="HV61" t="e">
        <f>AND(#REF!,"AAAAAH3/e+U=")</f>
        <v>#REF!</v>
      </c>
      <c r="HW61" t="e">
        <f>AND(#REF!,"AAAAAH3/e+Y=")</f>
        <v>#REF!</v>
      </c>
      <c r="HX61" t="e">
        <f>AND(#REF!,"AAAAAH3/e+c=")</f>
        <v>#REF!</v>
      </c>
      <c r="HY61" t="e">
        <f>AND(#REF!,"AAAAAH3/e+g=")</f>
        <v>#REF!</v>
      </c>
      <c r="HZ61" t="e">
        <f>AND(#REF!,"AAAAAH3/e+k=")</f>
        <v>#REF!</v>
      </c>
      <c r="IA61" t="e">
        <f>AND(#REF!,"AAAAAH3/e+o=")</f>
        <v>#REF!</v>
      </c>
      <c r="IB61" t="e">
        <f>AND(#REF!,"AAAAAH3/e+s=")</f>
        <v>#REF!</v>
      </c>
      <c r="IC61" t="e">
        <f>AND(#REF!,"AAAAAH3/e+w=")</f>
        <v>#REF!</v>
      </c>
      <c r="ID61" t="e">
        <f>AND(#REF!,"AAAAAH3/e+0=")</f>
        <v>#REF!</v>
      </c>
      <c r="IE61" t="e">
        <f>AND(#REF!,"AAAAAH3/e+4=")</f>
        <v>#REF!</v>
      </c>
      <c r="IF61" t="e">
        <f>IF(#REF!,"AAAAAH3/e+8=",0)</f>
        <v>#REF!</v>
      </c>
      <c r="IG61" t="e">
        <f>AND(#REF!,"AAAAAH3/e/A=")</f>
        <v>#REF!</v>
      </c>
      <c r="IH61" t="e">
        <f>AND(#REF!,"AAAAAH3/e/E=")</f>
        <v>#REF!</v>
      </c>
      <c r="II61" t="e">
        <f>AND(#REF!,"AAAAAH3/e/I=")</f>
        <v>#REF!</v>
      </c>
      <c r="IJ61" t="e">
        <f>AND(#REF!,"AAAAAH3/e/M=")</f>
        <v>#REF!</v>
      </c>
      <c r="IK61" t="e">
        <f>AND(#REF!,"AAAAAH3/e/Q=")</f>
        <v>#REF!</v>
      </c>
      <c r="IL61" t="e">
        <f>AND(#REF!,"AAAAAH3/e/U=")</f>
        <v>#REF!</v>
      </c>
      <c r="IM61" t="e">
        <f>AND(#REF!,"AAAAAH3/e/Y=")</f>
        <v>#REF!</v>
      </c>
      <c r="IN61" t="e">
        <f>AND(#REF!,"AAAAAH3/e/c=")</f>
        <v>#REF!</v>
      </c>
      <c r="IO61" t="e">
        <f>AND(#REF!,"AAAAAH3/e/g=")</f>
        <v>#REF!</v>
      </c>
      <c r="IP61" t="e">
        <f>AND(#REF!,"AAAAAH3/e/k=")</f>
        <v>#REF!</v>
      </c>
      <c r="IQ61" t="e">
        <f>AND(#REF!,"AAAAAH3/e/o=")</f>
        <v>#REF!</v>
      </c>
      <c r="IR61" t="e">
        <f>AND(#REF!,"AAAAAH3/e/s=")</f>
        <v>#REF!</v>
      </c>
      <c r="IS61" t="e">
        <f>AND(#REF!,"AAAAAH3/e/w=")</f>
        <v>#REF!</v>
      </c>
      <c r="IT61" t="e">
        <f>AND(#REF!,"AAAAAH3/e/0=")</f>
        <v>#REF!</v>
      </c>
      <c r="IU61" t="e">
        <f>AND(#REF!,"AAAAAH3/e/4=")</f>
        <v>#REF!</v>
      </c>
      <c r="IV61" t="e">
        <f>AND(#REF!,"AAAAAH3/e/8=")</f>
        <v>#REF!</v>
      </c>
    </row>
    <row r="62" spans="1:256" x14ac:dyDescent="0.25">
      <c r="A62" t="e">
        <f>AND(#REF!,"AAAAAH1/vwA=")</f>
        <v>#REF!</v>
      </c>
      <c r="B62" t="e">
        <f>AND(#REF!,"AAAAAH1/vwE=")</f>
        <v>#REF!</v>
      </c>
      <c r="C62" t="e">
        <f>AND(#REF!,"AAAAAH1/vwI=")</f>
        <v>#REF!</v>
      </c>
      <c r="D62" t="e">
        <f>AND(#REF!,"AAAAAH1/vwM=")</f>
        <v>#REF!</v>
      </c>
      <c r="E62" t="e">
        <f>AND(#REF!,"AAAAAH1/vwQ=")</f>
        <v>#REF!</v>
      </c>
      <c r="F62" t="e">
        <f>AND(#REF!,"AAAAAH1/vwU=")</f>
        <v>#REF!</v>
      </c>
      <c r="G62" t="e">
        <f>AND(#REF!,"AAAAAH1/vwY=")</f>
        <v>#REF!</v>
      </c>
      <c r="H62" t="e">
        <f>AND(#REF!,"AAAAAH1/vwc=")</f>
        <v>#REF!</v>
      </c>
      <c r="I62" t="e">
        <f>AND(#REF!,"AAAAAH1/vwg=")</f>
        <v>#REF!</v>
      </c>
      <c r="J62" t="e">
        <f>AND(#REF!,"AAAAAH1/vwk=")</f>
        <v>#REF!</v>
      </c>
      <c r="K62" t="e">
        <f>AND(#REF!,"AAAAAH1/vwo=")</f>
        <v>#REF!</v>
      </c>
      <c r="L62" t="e">
        <f>AND(#REF!,"AAAAAH1/vws=")</f>
        <v>#REF!</v>
      </c>
      <c r="M62" t="e">
        <f>AND(#REF!,"AAAAAH1/vww=")</f>
        <v>#REF!</v>
      </c>
      <c r="N62" t="e">
        <f>AND(#REF!,"AAAAAH1/vw0=")</f>
        <v>#REF!</v>
      </c>
      <c r="O62" t="e">
        <f>AND(#REF!,"AAAAAH1/vw4=")</f>
        <v>#REF!</v>
      </c>
      <c r="P62" t="e">
        <f>AND(#REF!,"AAAAAH1/vw8=")</f>
        <v>#REF!</v>
      </c>
      <c r="Q62" t="e">
        <f>AND(#REF!,"AAAAAH1/vxA=")</f>
        <v>#REF!</v>
      </c>
      <c r="R62" t="e">
        <f>AND(#REF!,"AAAAAH1/vxE=")</f>
        <v>#REF!</v>
      </c>
      <c r="S62" t="e">
        <f>AND(#REF!,"AAAAAH1/vxI=")</f>
        <v>#REF!</v>
      </c>
      <c r="T62" t="e">
        <f>AND(#REF!,"AAAAAH1/vxM=")</f>
        <v>#REF!</v>
      </c>
      <c r="U62" t="e">
        <f>AND(#REF!,"AAAAAH1/vxQ=")</f>
        <v>#REF!</v>
      </c>
      <c r="V62" t="e">
        <f>AND(#REF!,"AAAAAH1/vxU=")</f>
        <v>#REF!</v>
      </c>
      <c r="W62" t="e">
        <f>AND(#REF!,"AAAAAH1/vxY=")</f>
        <v>#REF!</v>
      </c>
      <c r="X62" t="e">
        <f>AND(#REF!,"AAAAAH1/vxc=")</f>
        <v>#REF!</v>
      </c>
      <c r="Y62" t="e">
        <f>AND(#REF!,"AAAAAH1/vxg=")</f>
        <v>#REF!</v>
      </c>
      <c r="Z62" t="e">
        <f>AND(#REF!,"AAAAAH1/vxk=")</f>
        <v>#REF!</v>
      </c>
      <c r="AA62" t="e">
        <f>AND(#REF!,"AAAAAH1/vxo=")</f>
        <v>#REF!</v>
      </c>
      <c r="AB62" t="e">
        <f>AND(#REF!,"AAAAAH1/vxs=")</f>
        <v>#REF!</v>
      </c>
      <c r="AC62" t="e">
        <f>AND(#REF!,"AAAAAH1/vxw=")</f>
        <v>#REF!</v>
      </c>
      <c r="AD62" t="e">
        <f>AND(#REF!,"AAAAAH1/vx0=")</f>
        <v>#REF!</v>
      </c>
      <c r="AE62" t="e">
        <f>AND(#REF!,"AAAAAH1/vx4=")</f>
        <v>#REF!</v>
      </c>
      <c r="AF62" t="e">
        <f>AND(#REF!,"AAAAAH1/vx8=")</f>
        <v>#REF!</v>
      </c>
      <c r="AG62" t="e">
        <f>AND(#REF!,"AAAAAH1/vyA=")</f>
        <v>#REF!</v>
      </c>
      <c r="AH62" t="e">
        <f>AND(#REF!,"AAAAAH1/vyE=")</f>
        <v>#REF!</v>
      </c>
      <c r="AI62" t="e">
        <f>AND(#REF!,"AAAAAH1/vyI=")</f>
        <v>#REF!</v>
      </c>
      <c r="AJ62" t="e">
        <f>AND(#REF!,"AAAAAH1/vyM=")</f>
        <v>#REF!</v>
      </c>
      <c r="AK62" t="e">
        <f>AND(#REF!,"AAAAAH1/vyQ=")</f>
        <v>#REF!</v>
      </c>
      <c r="AL62" t="e">
        <f>AND(#REF!,"AAAAAH1/vyU=")</f>
        <v>#REF!</v>
      </c>
      <c r="AM62" t="e">
        <f>IF(#REF!,"AAAAAH1/vyY=",0)</f>
        <v>#REF!</v>
      </c>
      <c r="AN62" t="e">
        <f>AND(#REF!,"AAAAAH1/vyc=")</f>
        <v>#REF!</v>
      </c>
      <c r="AO62" t="e">
        <f>AND(#REF!,"AAAAAH1/vyg=")</f>
        <v>#REF!</v>
      </c>
      <c r="AP62" t="e">
        <f>AND(#REF!,"AAAAAH1/vyk=")</f>
        <v>#REF!</v>
      </c>
      <c r="AQ62" t="e">
        <f>AND(#REF!,"AAAAAH1/vyo=")</f>
        <v>#REF!</v>
      </c>
      <c r="AR62" t="e">
        <f>AND(#REF!,"AAAAAH1/vys=")</f>
        <v>#REF!</v>
      </c>
      <c r="AS62" t="e">
        <f>AND(#REF!,"AAAAAH1/vyw=")</f>
        <v>#REF!</v>
      </c>
      <c r="AT62" t="e">
        <f>AND(#REF!,"AAAAAH1/vy0=")</f>
        <v>#REF!</v>
      </c>
      <c r="AU62" t="e">
        <f>AND(#REF!,"AAAAAH1/vy4=")</f>
        <v>#REF!</v>
      </c>
      <c r="AV62" t="e">
        <f>AND(#REF!,"AAAAAH1/vy8=")</f>
        <v>#REF!</v>
      </c>
      <c r="AW62" t="e">
        <f>AND(#REF!,"AAAAAH1/vzA=")</f>
        <v>#REF!</v>
      </c>
      <c r="AX62" t="e">
        <f>AND(#REF!,"AAAAAH1/vzE=")</f>
        <v>#REF!</v>
      </c>
      <c r="AY62" t="e">
        <f>AND(#REF!,"AAAAAH1/vzI=")</f>
        <v>#REF!</v>
      </c>
      <c r="AZ62" t="e">
        <f>AND(#REF!,"AAAAAH1/vzM=")</f>
        <v>#REF!</v>
      </c>
      <c r="BA62" t="e">
        <f>AND(#REF!,"AAAAAH1/vzQ=")</f>
        <v>#REF!</v>
      </c>
      <c r="BB62" t="e">
        <f>AND(#REF!,"AAAAAH1/vzU=")</f>
        <v>#REF!</v>
      </c>
      <c r="BC62" t="e">
        <f>AND(#REF!,"AAAAAH1/vzY=")</f>
        <v>#REF!</v>
      </c>
      <c r="BD62" t="e">
        <f>AND(#REF!,"AAAAAH1/vzc=")</f>
        <v>#REF!</v>
      </c>
      <c r="BE62" t="e">
        <f>AND(#REF!,"AAAAAH1/vzg=")</f>
        <v>#REF!</v>
      </c>
      <c r="BF62" t="e">
        <f>AND(#REF!,"AAAAAH1/vzk=")</f>
        <v>#REF!</v>
      </c>
      <c r="BG62" t="e">
        <f>AND(#REF!,"AAAAAH1/vzo=")</f>
        <v>#REF!</v>
      </c>
      <c r="BH62" t="e">
        <f>AND(#REF!,"AAAAAH1/vzs=")</f>
        <v>#REF!</v>
      </c>
      <c r="BI62" t="e">
        <f>AND(#REF!,"AAAAAH1/vzw=")</f>
        <v>#REF!</v>
      </c>
      <c r="BJ62" t="e">
        <f>AND(#REF!,"AAAAAH1/vz0=")</f>
        <v>#REF!</v>
      </c>
      <c r="BK62" t="e">
        <f>AND(#REF!,"AAAAAH1/vz4=")</f>
        <v>#REF!</v>
      </c>
      <c r="BL62" t="e">
        <f>AND(#REF!,"AAAAAH1/vz8=")</f>
        <v>#REF!</v>
      </c>
      <c r="BM62" t="e">
        <f>AND(#REF!,"AAAAAH1/v0A=")</f>
        <v>#REF!</v>
      </c>
      <c r="BN62" t="e">
        <f>AND(#REF!,"AAAAAH1/v0E=")</f>
        <v>#REF!</v>
      </c>
      <c r="BO62" t="e">
        <f>AND(#REF!,"AAAAAH1/v0I=")</f>
        <v>#REF!</v>
      </c>
      <c r="BP62" t="e">
        <f>AND(#REF!,"AAAAAH1/v0M=")</f>
        <v>#REF!</v>
      </c>
      <c r="BQ62" t="e">
        <f>AND(#REF!,"AAAAAH1/v0Q=")</f>
        <v>#REF!</v>
      </c>
      <c r="BR62" t="e">
        <f>AND(#REF!,"AAAAAH1/v0U=")</f>
        <v>#REF!</v>
      </c>
      <c r="BS62" t="e">
        <f>AND(#REF!,"AAAAAH1/v0Y=")</f>
        <v>#REF!</v>
      </c>
      <c r="BT62" t="e">
        <f>AND(#REF!,"AAAAAH1/v0c=")</f>
        <v>#REF!</v>
      </c>
      <c r="BU62" t="e">
        <f>AND(#REF!,"AAAAAH1/v0g=")</f>
        <v>#REF!</v>
      </c>
      <c r="BV62" t="e">
        <f>AND(#REF!,"AAAAAH1/v0k=")</f>
        <v>#REF!</v>
      </c>
      <c r="BW62" t="e">
        <f>AND(#REF!,"AAAAAH1/v0o=")</f>
        <v>#REF!</v>
      </c>
      <c r="BX62" t="e">
        <f>AND(#REF!,"AAAAAH1/v0s=")</f>
        <v>#REF!</v>
      </c>
      <c r="BY62" t="e">
        <f>AND(#REF!,"AAAAAH1/v0w=")</f>
        <v>#REF!</v>
      </c>
      <c r="BZ62" t="e">
        <f>AND(#REF!,"AAAAAH1/v00=")</f>
        <v>#REF!</v>
      </c>
      <c r="CA62" t="e">
        <f>AND(#REF!,"AAAAAH1/v04=")</f>
        <v>#REF!</v>
      </c>
      <c r="CB62" t="e">
        <f>AND(#REF!,"AAAAAH1/v08=")</f>
        <v>#REF!</v>
      </c>
      <c r="CC62" t="e">
        <f>AND(#REF!,"AAAAAH1/v1A=")</f>
        <v>#REF!</v>
      </c>
      <c r="CD62" t="e">
        <f>AND(#REF!,"AAAAAH1/v1E=")</f>
        <v>#REF!</v>
      </c>
      <c r="CE62" t="e">
        <f>AND(#REF!,"AAAAAH1/v1I=")</f>
        <v>#REF!</v>
      </c>
      <c r="CF62" t="e">
        <f>AND(#REF!,"AAAAAH1/v1M=")</f>
        <v>#REF!</v>
      </c>
      <c r="CG62" t="e">
        <f>AND(#REF!,"AAAAAH1/v1Q=")</f>
        <v>#REF!</v>
      </c>
      <c r="CH62" t="e">
        <f>AND(#REF!,"AAAAAH1/v1U=")</f>
        <v>#REF!</v>
      </c>
      <c r="CI62" t="e">
        <f>AND(#REF!,"AAAAAH1/v1Y=")</f>
        <v>#REF!</v>
      </c>
      <c r="CJ62" t="e">
        <f>AND(#REF!,"AAAAAH1/v1c=")</f>
        <v>#REF!</v>
      </c>
      <c r="CK62" t="e">
        <f>AND(#REF!,"AAAAAH1/v1g=")</f>
        <v>#REF!</v>
      </c>
      <c r="CL62" t="e">
        <f>AND(#REF!,"AAAAAH1/v1k=")</f>
        <v>#REF!</v>
      </c>
      <c r="CM62" t="e">
        <f>AND(#REF!,"AAAAAH1/v1o=")</f>
        <v>#REF!</v>
      </c>
      <c r="CN62" t="e">
        <f>AND(#REF!,"AAAAAH1/v1s=")</f>
        <v>#REF!</v>
      </c>
      <c r="CO62" t="e">
        <f>AND(#REF!,"AAAAAH1/v1w=")</f>
        <v>#REF!</v>
      </c>
      <c r="CP62" t="e">
        <f>IF(#REF!,"AAAAAH1/v10=",0)</f>
        <v>#REF!</v>
      </c>
      <c r="CQ62" t="e">
        <f>AND(#REF!,"AAAAAH1/v14=")</f>
        <v>#REF!</v>
      </c>
      <c r="CR62" t="e">
        <f>AND(#REF!,"AAAAAH1/v18=")</f>
        <v>#REF!</v>
      </c>
      <c r="CS62" t="e">
        <f>AND(#REF!,"AAAAAH1/v2A=")</f>
        <v>#REF!</v>
      </c>
      <c r="CT62" t="e">
        <f>AND(#REF!,"AAAAAH1/v2E=")</f>
        <v>#REF!</v>
      </c>
      <c r="CU62" t="e">
        <f>AND(#REF!,"AAAAAH1/v2I=")</f>
        <v>#REF!</v>
      </c>
      <c r="CV62" t="e">
        <f>AND(#REF!,"AAAAAH1/v2M=")</f>
        <v>#REF!</v>
      </c>
      <c r="CW62" t="e">
        <f>AND(#REF!,"AAAAAH1/v2Q=")</f>
        <v>#REF!</v>
      </c>
      <c r="CX62" t="e">
        <f>AND(#REF!,"AAAAAH1/v2U=")</f>
        <v>#REF!</v>
      </c>
      <c r="CY62" t="e">
        <f>AND(#REF!,"AAAAAH1/v2Y=")</f>
        <v>#REF!</v>
      </c>
      <c r="CZ62" t="e">
        <f>AND(#REF!,"AAAAAH1/v2c=")</f>
        <v>#REF!</v>
      </c>
      <c r="DA62" t="e">
        <f>AND(#REF!,"AAAAAH1/v2g=")</f>
        <v>#REF!</v>
      </c>
      <c r="DB62" t="e">
        <f>AND(#REF!,"AAAAAH1/v2k=")</f>
        <v>#REF!</v>
      </c>
      <c r="DC62" t="e">
        <f>AND(#REF!,"AAAAAH1/v2o=")</f>
        <v>#REF!</v>
      </c>
      <c r="DD62" t="e">
        <f>AND(#REF!,"AAAAAH1/v2s=")</f>
        <v>#REF!</v>
      </c>
      <c r="DE62" t="e">
        <f>AND(#REF!,"AAAAAH1/v2w=")</f>
        <v>#REF!</v>
      </c>
      <c r="DF62" t="e">
        <f>AND(#REF!,"AAAAAH1/v20=")</f>
        <v>#REF!</v>
      </c>
      <c r="DG62" t="e">
        <f>AND(#REF!,"AAAAAH1/v24=")</f>
        <v>#REF!</v>
      </c>
      <c r="DH62" t="e">
        <f>AND(#REF!,"AAAAAH1/v28=")</f>
        <v>#REF!</v>
      </c>
      <c r="DI62" t="e">
        <f>AND(#REF!,"AAAAAH1/v3A=")</f>
        <v>#REF!</v>
      </c>
      <c r="DJ62" t="e">
        <f>AND(#REF!,"AAAAAH1/v3E=")</f>
        <v>#REF!</v>
      </c>
      <c r="DK62" t="e">
        <f>AND(#REF!,"AAAAAH1/v3I=")</f>
        <v>#REF!</v>
      </c>
      <c r="DL62" t="e">
        <f>AND(#REF!,"AAAAAH1/v3M=")</f>
        <v>#REF!</v>
      </c>
      <c r="DM62" t="e">
        <f>AND(#REF!,"AAAAAH1/v3Q=")</f>
        <v>#REF!</v>
      </c>
      <c r="DN62" t="e">
        <f>AND(#REF!,"AAAAAH1/v3U=")</f>
        <v>#REF!</v>
      </c>
      <c r="DO62" t="e">
        <f>AND(#REF!,"AAAAAH1/v3Y=")</f>
        <v>#REF!</v>
      </c>
      <c r="DP62" t="e">
        <f>AND(#REF!,"AAAAAH1/v3c=")</f>
        <v>#REF!</v>
      </c>
      <c r="DQ62" t="e">
        <f>AND(#REF!,"AAAAAH1/v3g=")</f>
        <v>#REF!</v>
      </c>
      <c r="DR62" t="e">
        <f>AND(#REF!,"AAAAAH1/v3k=")</f>
        <v>#REF!</v>
      </c>
      <c r="DS62" t="e">
        <f>AND(#REF!,"AAAAAH1/v3o=")</f>
        <v>#REF!</v>
      </c>
      <c r="DT62" t="e">
        <f>AND(#REF!,"AAAAAH1/v3s=")</f>
        <v>#REF!</v>
      </c>
      <c r="DU62" t="e">
        <f>AND(#REF!,"AAAAAH1/v3w=")</f>
        <v>#REF!</v>
      </c>
      <c r="DV62" t="e">
        <f>AND(#REF!,"AAAAAH1/v30=")</f>
        <v>#REF!</v>
      </c>
      <c r="DW62" t="e">
        <f>AND(#REF!,"AAAAAH1/v34=")</f>
        <v>#REF!</v>
      </c>
      <c r="DX62" t="e">
        <f>AND(#REF!,"AAAAAH1/v38=")</f>
        <v>#REF!</v>
      </c>
      <c r="DY62" t="e">
        <f>AND(#REF!,"AAAAAH1/v4A=")</f>
        <v>#REF!</v>
      </c>
      <c r="DZ62" t="e">
        <f>AND(#REF!,"AAAAAH1/v4E=")</f>
        <v>#REF!</v>
      </c>
      <c r="EA62" t="e">
        <f>AND(#REF!,"AAAAAH1/v4I=")</f>
        <v>#REF!</v>
      </c>
      <c r="EB62" t="e">
        <f>AND(#REF!,"AAAAAH1/v4M=")</f>
        <v>#REF!</v>
      </c>
      <c r="EC62" t="e">
        <f>AND(#REF!,"AAAAAH1/v4Q=")</f>
        <v>#REF!</v>
      </c>
      <c r="ED62" t="e">
        <f>AND(#REF!,"AAAAAH1/v4U=")</f>
        <v>#REF!</v>
      </c>
      <c r="EE62" t="e">
        <f>AND(#REF!,"AAAAAH1/v4Y=")</f>
        <v>#REF!</v>
      </c>
      <c r="EF62" t="e">
        <f>AND(#REF!,"AAAAAH1/v4c=")</f>
        <v>#REF!</v>
      </c>
      <c r="EG62" t="e">
        <f>AND(#REF!,"AAAAAH1/v4g=")</f>
        <v>#REF!</v>
      </c>
      <c r="EH62" t="e">
        <f>AND(#REF!,"AAAAAH1/v4k=")</f>
        <v>#REF!</v>
      </c>
      <c r="EI62" t="e">
        <f>AND(#REF!,"AAAAAH1/v4o=")</f>
        <v>#REF!</v>
      </c>
      <c r="EJ62" t="e">
        <f>AND(#REF!,"AAAAAH1/v4s=")</f>
        <v>#REF!</v>
      </c>
      <c r="EK62" t="e">
        <f>AND(#REF!,"AAAAAH1/v4w=")</f>
        <v>#REF!</v>
      </c>
      <c r="EL62" t="e">
        <f>AND(#REF!,"AAAAAH1/v40=")</f>
        <v>#REF!</v>
      </c>
      <c r="EM62" t="e">
        <f>AND(#REF!,"AAAAAH1/v44=")</f>
        <v>#REF!</v>
      </c>
      <c r="EN62" t="e">
        <f>AND(#REF!,"AAAAAH1/v48=")</f>
        <v>#REF!</v>
      </c>
      <c r="EO62" t="e">
        <f>AND(#REF!,"AAAAAH1/v5A=")</f>
        <v>#REF!</v>
      </c>
      <c r="EP62" t="e">
        <f>AND(#REF!,"AAAAAH1/v5E=")</f>
        <v>#REF!</v>
      </c>
      <c r="EQ62" t="e">
        <f>AND(#REF!,"AAAAAH1/v5I=")</f>
        <v>#REF!</v>
      </c>
      <c r="ER62" t="e">
        <f>AND(#REF!,"AAAAAH1/v5M=")</f>
        <v>#REF!</v>
      </c>
      <c r="ES62" t="e">
        <f>IF(#REF!,"AAAAAH1/v5Q=",0)</f>
        <v>#REF!</v>
      </c>
      <c r="ET62" t="e">
        <f>AND(#REF!,"AAAAAH1/v5U=")</f>
        <v>#REF!</v>
      </c>
      <c r="EU62" t="e">
        <f>AND(#REF!,"AAAAAH1/v5Y=")</f>
        <v>#REF!</v>
      </c>
      <c r="EV62" t="e">
        <f>AND(#REF!,"AAAAAH1/v5c=")</f>
        <v>#REF!</v>
      </c>
      <c r="EW62" t="e">
        <f>AND(#REF!,"AAAAAH1/v5g=")</f>
        <v>#REF!</v>
      </c>
      <c r="EX62" t="e">
        <f>AND(#REF!,"AAAAAH1/v5k=")</f>
        <v>#REF!</v>
      </c>
      <c r="EY62" t="e">
        <f>AND(#REF!,"AAAAAH1/v5o=")</f>
        <v>#REF!</v>
      </c>
      <c r="EZ62" t="e">
        <f>AND(#REF!,"AAAAAH1/v5s=")</f>
        <v>#REF!</v>
      </c>
      <c r="FA62" t="e">
        <f>AND(#REF!,"AAAAAH1/v5w=")</f>
        <v>#REF!</v>
      </c>
      <c r="FB62" t="e">
        <f>AND(#REF!,"AAAAAH1/v50=")</f>
        <v>#REF!</v>
      </c>
      <c r="FC62" t="e">
        <f>AND(#REF!,"AAAAAH1/v54=")</f>
        <v>#REF!</v>
      </c>
      <c r="FD62" t="e">
        <f>AND(#REF!,"AAAAAH1/v58=")</f>
        <v>#REF!</v>
      </c>
      <c r="FE62" t="e">
        <f>AND(#REF!,"AAAAAH1/v6A=")</f>
        <v>#REF!</v>
      </c>
      <c r="FF62" t="e">
        <f>AND(#REF!,"AAAAAH1/v6E=")</f>
        <v>#REF!</v>
      </c>
      <c r="FG62" t="e">
        <f>AND(#REF!,"AAAAAH1/v6I=")</f>
        <v>#REF!</v>
      </c>
      <c r="FH62" t="e">
        <f>AND(#REF!,"AAAAAH1/v6M=")</f>
        <v>#REF!</v>
      </c>
      <c r="FI62" t="e">
        <f>AND(#REF!,"AAAAAH1/v6Q=")</f>
        <v>#REF!</v>
      </c>
      <c r="FJ62" t="e">
        <f>AND(#REF!,"AAAAAH1/v6U=")</f>
        <v>#REF!</v>
      </c>
      <c r="FK62" t="e">
        <f>AND(#REF!,"AAAAAH1/v6Y=")</f>
        <v>#REF!</v>
      </c>
      <c r="FL62" t="e">
        <f>AND(#REF!,"AAAAAH1/v6c=")</f>
        <v>#REF!</v>
      </c>
      <c r="FM62" t="e">
        <f>AND(#REF!,"AAAAAH1/v6g=")</f>
        <v>#REF!</v>
      </c>
      <c r="FN62" t="e">
        <f>AND(#REF!,"AAAAAH1/v6k=")</f>
        <v>#REF!</v>
      </c>
      <c r="FO62" t="e">
        <f>AND(#REF!,"AAAAAH1/v6o=")</f>
        <v>#REF!</v>
      </c>
      <c r="FP62" t="e">
        <f>AND(#REF!,"AAAAAH1/v6s=")</f>
        <v>#REF!</v>
      </c>
      <c r="FQ62" t="e">
        <f>AND(#REF!,"AAAAAH1/v6w=")</f>
        <v>#REF!</v>
      </c>
      <c r="FR62" t="e">
        <f>AND(#REF!,"AAAAAH1/v60=")</f>
        <v>#REF!</v>
      </c>
      <c r="FS62" t="e">
        <f>AND(#REF!,"AAAAAH1/v64=")</f>
        <v>#REF!</v>
      </c>
      <c r="FT62" t="e">
        <f>AND(#REF!,"AAAAAH1/v68=")</f>
        <v>#REF!</v>
      </c>
      <c r="FU62" t="e">
        <f>AND(#REF!,"AAAAAH1/v7A=")</f>
        <v>#REF!</v>
      </c>
      <c r="FV62" t="e">
        <f>AND(#REF!,"AAAAAH1/v7E=")</f>
        <v>#REF!</v>
      </c>
      <c r="FW62" t="e">
        <f>AND(#REF!,"AAAAAH1/v7I=")</f>
        <v>#REF!</v>
      </c>
      <c r="FX62" t="e">
        <f>AND(#REF!,"AAAAAH1/v7M=")</f>
        <v>#REF!</v>
      </c>
      <c r="FY62" t="e">
        <f>AND(#REF!,"AAAAAH1/v7Q=")</f>
        <v>#REF!</v>
      </c>
      <c r="FZ62" t="e">
        <f>AND(#REF!,"AAAAAH1/v7U=")</f>
        <v>#REF!</v>
      </c>
      <c r="GA62" t="e">
        <f>AND(#REF!,"AAAAAH1/v7Y=")</f>
        <v>#REF!</v>
      </c>
      <c r="GB62" t="e">
        <f>AND(#REF!,"AAAAAH1/v7c=")</f>
        <v>#REF!</v>
      </c>
      <c r="GC62" t="e">
        <f>AND(#REF!,"AAAAAH1/v7g=")</f>
        <v>#REF!</v>
      </c>
      <c r="GD62" t="e">
        <f>AND(#REF!,"AAAAAH1/v7k=")</f>
        <v>#REF!</v>
      </c>
      <c r="GE62" t="e">
        <f>AND(#REF!,"AAAAAH1/v7o=")</f>
        <v>#REF!</v>
      </c>
      <c r="GF62" t="e">
        <f>AND(#REF!,"AAAAAH1/v7s=")</f>
        <v>#REF!</v>
      </c>
      <c r="GG62" t="e">
        <f>AND(#REF!,"AAAAAH1/v7w=")</f>
        <v>#REF!</v>
      </c>
      <c r="GH62" t="e">
        <f>AND(#REF!,"AAAAAH1/v70=")</f>
        <v>#REF!</v>
      </c>
      <c r="GI62" t="e">
        <f>AND(#REF!,"AAAAAH1/v74=")</f>
        <v>#REF!</v>
      </c>
      <c r="GJ62" t="e">
        <f>AND(#REF!,"AAAAAH1/v78=")</f>
        <v>#REF!</v>
      </c>
      <c r="GK62" t="e">
        <f>AND(#REF!,"AAAAAH1/v8A=")</f>
        <v>#REF!</v>
      </c>
      <c r="GL62" t="e">
        <f>AND(#REF!,"AAAAAH1/v8E=")</f>
        <v>#REF!</v>
      </c>
      <c r="GM62" t="e">
        <f>AND(#REF!,"AAAAAH1/v8I=")</f>
        <v>#REF!</v>
      </c>
      <c r="GN62" t="e">
        <f>AND(#REF!,"AAAAAH1/v8M=")</f>
        <v>#REF!</v>
      </c>
      <c r="GO62" t="e">
        <f>AND(#REF!,"AAAAAH1/v8Q=")</f>
        <v>#REF!</v>
      </c>
      <c r="GP62" t="e">
        <f>AND(#REF!,"AAAAAH1/v8U=")</f>
        <v>#REF!</v>
      </c>
      <c r="GQ62" t="e">
        <f>AND(#REF!,"AAAAAH1/v8Y=")</f>
        <v>#REF!</v>
      </c>
      <c r="GR62" t="e">
        <f>AND(#REF!,"AAAAAH1/v8c=")</f>
        <v>#REF!</v>
      </c>
      <c r="GS62" t="e">
        <f>AND(#REF!,"AAAAAH1/v8g=")</f>
        <v>#REF!</v>
      </c>
      <c r="GT62" t="e">
        <f>AND(#REF!,"AAAAAH1/v8k=")</f>
        <v>#REF!</v>
      </c>
      <c r="GU62" t="e">
        <f>AND(#REF!,"AAAAAH1/v8o=")</f>
        <v>#REF!</v>
      </c>
      <c r="GV62" t="e">
        <f>IF(#REF!,"AAAAAH1/v8s=",0)</f>
        <v>#REF!</v>
      </c>
      <c r="GW62" t="e">
        <f>AND(#REF!,"AAAAAH1/v8w=")</f>
        <v>#REF!</v>
      </c>
      <c r="GX62" t="e">
        <f>AND(#REF!,"AAAAAH1/v80=")</f>
        <v>#REF!</v>
      </c>
      <c r="GY62" t="e">
        <f>AND(#REF!,"AAAAAH1/v84=")</f>
        <v>#REF!</v>
      </c>
      <c r="GZ62" t="e">
        <f>AND(#REF!,"AAAAAH1/v88=")</f>
        <v>#REF!</v>
      </c>
      <c r="HA62" t="e">
        <f>AND(#REF!,"AAAAAH1/v9A=")</f>
        <v>#REF!</v>
      </c>
      <c r="HB62" t="e">
        <f>AND(#REF!,"AAAAAH1/v9E=")</f>
        <v>#REF!</v>
      </c>
      <c r="HC62" t="e">
        <f>AND(#REF!,"AAAAAH1/v9I=")</f>
        <v>#REF!</v>
      </c>
      <c r="HD62" t="e">
        <f>AND(#REF!,"AAAAAH1/v9M=")</f>
        <v>#REF!</v>
      </c>
      <c r="HE62" t="e">
        <f>AND(#REF!,"AAAAAH1/v9Q=")</f>
        <v>#REF!</v>
      </c>
      <c r="HF62" t="e">
        <f>AND(#REF!,"AAAAAH1/v9U=")</f>
        <v>#REF!</v>
      </c>
      <c r="HG62" t="e">
        <f>AND(#REF!,"AAAAAH1/v9Y=")</f>
        <v>#REF!</v>
      </c>
      <c r="HH62" t="e">
        <f>AND(#REF!,"AAAAAH1/v9c=")</f>
        <v>#REF!</v>
      </c>
      <c r="HI62" t="e">
        <f>AND(#REF!,"AAAAAH1/v9g=")</f>
        <v>#REF!</v>
      </c>
      <c r="HJ62" t="e">
        <f>AND(#REF!,"AAAAAH1/v9k=")</f>
        <v>#REF!</v>
      </c>
      <c r="HK62" t="e">
        <f>AND(#REF!,"AAAAAH1/v9o=")</f>
        <v>#REF!</v>
      </c>
      <c r="HL62" t="e">
        <f>AND(#REF!,"AAAAAH1/v9s=")</f>
        <v>#REF!</v>
      </c>
      <c r="HM62" t="e">
        <f>AND(#REF!,"AAAAAH1/v9w=")</f>
        <v>#REF!</v>
      </c>
      <c r="HN62" t="e">
        <f>AND(#REF!,"AAAAAH1/v90=")</f>
        <v>#REF!</v>
      </c>
      <c r="HO62" t="e">
        <f>AND(#REF!,"AAAAAH1/v94=")</f>
        <v>#REF!</v>
      </c>
      <c r="HP62" t="e">
        <f>AND(#REF!,"AAAAAH1/v98=")</f>
        <v>#REF!</v>
      </c>
      <c r="HQ62" t="e">
        <f>AND(#REF!,"AAAAAH1/v+A=")</f>
        <v>#REF!</v>
      </c>
      <c r="HR62" t="e">
        <f>AND(#REF!,"AAAAAH1/v+E=")</f>
        <v>#REF!</v>
      </c>
      <c r="HS62" t="e">
        <f>AND(#REF!,"AAAAAH1/v+I=")</f>
        <v>#REF!</v>
      </c>
      <c r="HT62" t="e">
        <f>AND(#REF!,"AAAAAH1/v+M=")</f>
        <v>#REF!</v>
      </c>
      <c r="HU62" t="e">
        <f>AND(#REF!,"AAAAAH1/v+Q=")</f>
        <v>#REF!</v>
      </c>
      <c r="HV62" t="e">
        <f>AND(#REF!,"AAAAAH1/v+U=")</f>
        <v>#REF!</v>
      </c>
      <c r="HW62" t="e">
        <f>AND(#REF!,"AAAAAH1/v+Y=")</f>
        <v>#REF!</v>
      </c>
      <c r="HX62" t="e">
        <f>AND(#REF!,"AAAAAH1/v+c=")</f>
        <v>#REF!</v>
      </c>
      <c r="HY62" t="e">
        <f>AND(#REF!,"AAAAAH1/v+g=")</f>
        <v>#REF!</v>
      </c>
      <c r="HZ62" t="e">
        <f>AND(#REF!,"AAAAAH1/v+k=")</f>
        <v>#REF!</v>
      </c>
      <c r="IA62" t="e">
        <f>AND(#REF!,"AAAAAH1/v+o=")</f>
        <v>#REF!</v>
      </c>
      <c r="IB62" t="e">
        <f>AND(#REF!,"AAAAAH1/v+s=")</f>
        <v>#REF!</v>
      </c>
      <c r="IC62" t="e">
        <f>AND(#REF!,"AAAAAH1/v+w=")</f>
        <v>#REF!</v>
      </c>
      <c r="ID62" t="e">
        <f>AND(#REF!,"AAAAAH1/v+0=")</f>
        <v>#REF!</v>
      </c>
      <c r="IE62" t="e">
        <f>AND(#REF!,"AAAAAH1/v+4=")</f>
        <v>#REF!</v>
      </c>
      <c r="IF62" t="e">
        <f>AND(#REF!,"AAAAAH1/v+8=")</f>
        <v>#REF!</v>
      </c>
      <c r="IG62" t="e">
        <f>AND(#REF!,"AAAAAH1/v/A=")</f>
        <v>#REF!</v>
      </c>
      <c r="IH62" t="e">
        <f>AND(#REF!,"AAAAAH1/v/E=")</f>
        <v>#REF!</v>
      </c>
      <c r="II62" t="e">
        <f>AND(#REF!,"AAAAAH1/v/I=")</f>
        <v>#REF!</v>
      </c>
      <c r="IJ62" t="e">
        <f>AND(#REF!,"AAAAAH1/v/M=")</f>
        <v>#REF!</v>
      </c>
      <c r="IK62" t="e">
        <f>AND(#REF!,"AAAAAH1/v/Q=")</f>
        <v>#REF!</v>
      </c>
      <c r="IL62" t="e">
        <f>AND(#REF!,"AAAAAH1/v/U=")</f>
        <v>#REF!</v>
      </c>
      <c r="IM62" t="e">
        <f>AND(#REF!,"AAAAAH1/v/Y=")</f>
        <v>#REF!</v>
      </c>
      <c r="IN62" t="e">
        <f>AND(#REF!,"AAAAAH1/v/c=")</f>
        <v>#REF!</v>
      </c>
      <c r="IO62" t="e">
        <f>AND(#REF!,"AAAAAH1/v/g=")</f>
        <v>#REF!</v>
      </c>
      <c r="IP62" t="e">
        <f>AND(#REF!,"AAAAAH1/v/k=")</f>
        <v>#REF!</v>
      </c>
      <c r="IQ62" t="e">
        <f>AND(#REF!,"AAAAAH1/v/o=")</f>
        <v>#REF!</v>
      </c>
      <c r="IR62" t="e">
        <f>AND(#REF!,"AAAAAH1/v/s=")</f>
        <v>#REF!</v>
      </c>
      <c r="IS62" t="e">
        <f>AND(#REF!,"AAAAAH1/v/w=")</f>
        <v>#REF!</v>
      </c>
      <c r="IT62" t="e">
        <f>AND(#REF!,"AAAAAH1/v/0=")</f>
        <v>#REF!</v>
      </c>
      <c r="IU62" t="e">
        <f>AND(#REF!,"AAAAAH1/v/4=")</f>
        <v>#REF!</v>
      </c>
      <c r="IV62" t="e">
        <f>AND(#REF!,"AAAAAH1/v/8=")</f>
        <v>#REF!</v>
      </c>
    </row>
    <row r="63" spans="1:256" x14ac:dyDescent="0.25">
      <c r="A63" t="e">
        <f>AND(#REF!,"AAAAAHef9wA=")</f>
        <v>#REF!</v>
      </c>
      <c r="B63" t="e">
        <f>AND(#REF!,"AAAAAHef9wE=")</f>
        <v>#REF!</v>
      </c>
      <c r="C63" t="e">
        <f>IF(#REF!,"AAAAAHef9wI=",0)</f>
        <v>#REF!</v>
      </c>
      <c r="D63" t="e">
        <f>AND(#REF!,"AAAAAHef9wM=")</f>
        <v>#REF!</v>
      </c>
      <c r="E63" t="e">
        <f>AND(#REF!,"AAAAAHef9wQ=")</f>
        <v>#REF!</v>
      </c>
      <c r="F63" t="e">
        <f>AND(#REF!,"AAAAAHef9wU=")</f>
        <v>#REF!</v>
      </c>
      <c r="G63" t="e">
        <f>AND(#REF!,"AAAAAHef9wY=")</f>
        <v>#REF!</v>
      </c>
      <c r="H63" t="e">
        <f>AND(#REF!,"AAAAAHef9wc=")</f>
        <v>#REF!</v>
      </c>
      <c r="I63" t="e">
        <f>AND(#REF!,"AAAAAHef9wg=")</f>
        <v>#REF!</v>
      </c>
      <c r="J63" t="e">
        <f>AND(#REF!,"AAAAAHef9wk=")</f>
        <v>#REF!</v>
      </c>
      <c r="K63" t="e">
        <f>AND(#REF!,"AAAAAHef9wo=")</f>
        <v>#REF!</v>
      </c>
      <c r="L63" t="e">
        <f>AND(#REF!,"AAAAAHef9ws=")</f>
        <v>#REF!</v>
      </c>
      <c r="M63" t="e">
        <f>AND(#REF!,"AAAAAHef9ww=")</f>
        <v>#REF!</v>
      </c>
      <c r="N63" t="e">
        <f>AND(#REF!,"AAAAAHef9w0=")</f>
        <v>#REF!</v>
      </c>
      <c r="O63" t="e">
        <f>AND(#REF!,"AAAAAHef9w4=")</f>
        <v>#REF!</v>
      </c>
      <c r="P63" t="e">
        <f>AND(#REF!,"AAAAAHef9w8=")</f>
        <v>#REF!</v>
      </c>
      <c r="Q63" t="e">
        <f>AND(#REF!,"AAAAAHef9xA=")</f>
        <v>#REF!</v>
      </c>
      <c r="R63" t="e">
        <f>AND(#REF!,"AAAAAHef9xE=")</f>
        <v>#REF!</v>
      </c>
      <c r="S63" t="e">
        <f>AND(#REF!,"AAAAAHef9xI=")</f>
        <v>#REF!</v>
      </c>
      <c r="T63" t="e">
        <f>AND(#REF!,"AAAAAHef9xM=")</f>
        <v>#REF!</v>
      </c>
      <c r="U63" t="e">
        <f>AND(#REF!,"AAAAAHef9xQ=")</f>
        <v>#REF!</v>
      </c>
      <c r="V63" t="e">
        <f>AND(#REF!,"AAAAAHef9xU=")</f>
        <v>#REF!</v>
      </c>
      <c r="W63" t="e">
        <f>AND(#REF!,"AAAAAHef9xY=")</f>
        <v>#REF!</v>
      </c>
      <c r="X63" t="e">
        <f>AND(#REF!,"AAAAAHef9xc=")</f>
        <v>#REF!</v>
      </c>
      <c r="Y63" t="e">
        <f>AND(#REF!,"AAAAAHef9xg=")</f>
        <v>#REF!</v>
      </c>
      <c r="Z63" t="e">
        <f>AND(#REF!,"AAAAAHef9xk=")</f>
        <v>#REF!</v>
      </c>
      <c r="AA63" t="e">
        <f>AND(#REF!,"AAAAAHef9xo=")</f>
        <v>#REF!</v>
      </c>
      <c r="AB63" t="e">
        <f>AND(#REF!,"AAAAAHef9xs=")</f>
        <v>#REF!</v>
      </c>
      <c r="AC63" t="e">
        <f>AND(#REF!,"AAAAAHef9xw=")</f>
        <v>#REF!</v>
      </c>
      <c r="AD63" t="e">
        <f>AND(#REF!,"AAAAAHef9x0=")</f>
        <v>#REF!</v>
      </c>
      <c r="AE63" t="e">
        <f>AND(#REF!,"AAAAAHef9x4=")</f>
        <v>#REF!</v>
      </c>
      <c r="AF63" t="e">
        <f>AND(#REF!,"AAAAAHef9x8=")</f>
        <v>#REF!</v>
      </c>
      <c r="AG63" t="e">
        <f>AND(#REF!,"AAAAAHef9yA=")</f>
        <v>#REF!</v>
      </c>
      <c r="AH63" t="e">
        <f>AND(#REF!,"AAAAAHef9yE=")</f>
        <v>#REF!</v>
      </c>
      <c r="AI63" t="e">
        <f>AND(#REF!,"AAAAAHef9yI=")</f>
        <v>#REF!</v>
      </c>
      <c r="AJ63" t="e">
        <f>AND(#REF!,"AAAAAHef9yM=")</f>
        <v>#REF!</v>
      </c>
      <c r="AK63" t="e">
        <f>AND(#REF!,"AAAAAHef9yQ=")</f>
        <v>#REF!</v>
      </c>
      <c r="AL63" t="e">
        <f>AND(#REF!,"AAAAAHef9yU=")</f>
        <v>#REF!</v>
      </c>
      <c r="AM63" t="e">
        <f>AND(#REF!,"AAAAAHef9yY=")</f>
        <v>#REF!</v>
      </c>
      <c r="AN63" t="e">
        <f>AND(#REF!,"AAAAAHef9yc=")</f>
        <v>#REF!</v>
      </c>
      <c r="AO63" t="e">
        <f>AND(#REF!,"AAAAAHef9yg=")</f>
        <v>#REF!</v>
      </c>
      <c r="AP63" t="e">
        <f>AND(#REF!,"AAAAAHef9yk=")</f>
        <v>#REF!</v>
      </c>
      <c r="AQ63" t="e">
        <f>AND(#REF!,"AAAAAHef9yo=")</f>
        <v>#REF!</v>
      </c>
      <c r="AR63" t="e">
        <f>AND(#REF!,"AAAAAHef9ys=")</f>
        <v>#REF!</v>
      </c>
      <c r="AS63" t="e">
        <f>AND(#REF!,"AAAAAHef9yw=")</f>
        <v>#REF!</v>
      </c>
      <c r="AT63" t="e">
        <f>AND(#REF!,"AAAAAHef9y0=")</f>
        <v>#REF!</v>
      </c>
      <c r="AU63" t="e">
        <f>AND(#REF!,"AAAAAHef9y4=")</f>
        <v>#REF!</v>
      </c>
      <c r="AV63" t="e">
        <f>AND(#REF!,"AAAAAHef9y8=")</f>
        <v>#REF!</v>
      </c>
      <c r="AW63" t="e">
        <f>AND(#REF!,"AAAAAHef9zA=")</f>
        <v>#REF!</v>
      </c>
      <c r="AX63" t="e">
        <f>AND(#REF!,"AAAAAHef9zE=")</f>
        <v>#REF!</v>
      </c>
      <c r="AY63" t="e">
        <f>AND(#REF!,"AAAAAHef9zI=")</f>
        <v>#REF!</v>
      </c>
      <c r="AZ63" t="e">
        <f>AND(#REF!,"AAAAAHef9zM=")</f>
        <v>#REF!</v>
      </c>
      <c r="BA63" t="e">
        <f>AND(#REF!,"AAAAAHef9zQ=")</f>
        <v>#REF!</v>
      </c>
      <c r="BB63" t="e">
        <f>AND(#REF!,"AAAAAHef9zU=")</f>
        <v>#REF!</v>
      </c>
      <c r="BC63" t="e">
        <f>AND(#REF!,"AAAAAHef9zY=")</f>
        <v>#REF!</v>
      </c>
      <c r="BD63" t="e">
        <f>AND(#REF!,"AAAAAHef9zc=")</f>
        <v>#REF!</v>
      </c>
      <c r="BE63" t="e">
        <f>AND(#REF!,"AAAAAHef9zg=")</f>
        <v>#REF!</v>
      </c>
      <c r="BF63" t="e">
        <f>IF(#REF!,"AAAAAHef9zk=",0)</f>
        <v>#REF!</v>
      </c>
      <c r="BG63" t="e">
        <f>AND(#REF!,"AAAAAHef9zo=")</f>
        <v>#REF!</v>
      </c>
      <c r="BH63" t="e">
        <f>AND(#REF!,"AAAAAHef9zs=")</f>
        <v>#REF!</v>
      </c>
      <c r="BI63" t="e">
        <f>AND(#REF!,"AAAAAHef9zw=")</f>
        <v>#REF!</v>
      </c>
      <c r="BJ63" t="e">
        <f>AND(#REF!,"AAAAAHef9z0=")</f>
        <v>#REF!</v>
      </c>
      <c r="BK63" t="e">
        <f>AND(#REF!,"AAAAAHef9z4=")</f>
        <v>#REF!</v>
      </c>
      <c r="BL63" t="e">
        <f>AND(#REF!,"AAAAAHef9z8=")</f>
        <v>#REF!</v>
      </c>
      <c r="BM63" t="e">
        <f>AND(#REF!,"AAAAAHef90A=")</f>
        <v>#REF!</v>
      </c>
      <c r="BN63" t="e">
        <f>AND(#REF!,"AAAAAHef90E=")</f>
        <v>#REF!</v>
      </c>
      <c r="BO63" t="e">
        <f>AND(#REF!,"AAAAAHef90I=")</f>
        <v>#REF!</v>
      </c>
      <c r="BP63" t="e">
        <f>AND(#REF!,"AAAAAHef90M=")</f>
        <v>#REF!</v>
      </c>
      <c r="BQ63" t="e">
        <f>AND(#REF!,"AAAAAHef90Q=")</f>
        <v>#REF!</v>
      </c>
      <c r="BR63" t="e">
        <f>AND(#REF!,"AAAAAHef90U=")</f>
        <v>#REF!</v>
      </c>
      <c r="BS63" t="e">
        <f>AND(#REF!,"AAAAAHef90Y=")</f>
        <v>#REF!</v>
      </c>
      <c r="BT63" t="e">
        <f>AND(#REF!,"AAAAAHef90c=")</f>
        <v>#REF!</v>
      </c>
      <c r="BU63" t="e">
        <f>AND(#REF!,"AAAAAHef90g=")</f>
        <v>#REF!</v>
      </c>
      <c r="BV63" t="e">
        <f>AND(#REF!,"AAAAAHef90k=")</f>
        <v>#REF!</v>
      </c>
      <c r="BW63" t="e">
        <f>AND(#REF!,"AAAAAHef90o=")</f>
        <v>#REF!</v>
      </c>
      <c r="BX63" t="e">
        <f>AND(#REF!,"AAAAAHef90s=")</f>
        <v>#REF!</v>
      </c>
      <c r="BY63" t="e">
        <f>AND(#REF!,"AAAAAHef90w=")</f>
        <v>#REF!</v>
      </c>
      <c r="BZ63" t="e">
        <f>AND(#REF!,"AAAAAHef900=")</f>
        <v>#REF!</v>
      </c>
      <c r="CA63" t="e">
        <f>AND(#REF!,"AAAAAHef904=")</f>
        <v>#REF!</v>
      </c>
      <c r="CB63" t="e">
        <f>AND(#REF!,"AAAAAHef908=")</f>
        <v>#REF!</v>
      </c>
      <c r="CC63" t="e">
        <f>AND(#REF!,"AAAAAHef91A=")</f>
        <v>#REF!</v>
      </c>
      <c r="CD63" t="e">
        <f>AND(#REF!,"AAAAAHef91E=")</f>
        <v>#REF!</v>
      </c>
      <c r="CE63" t="e">
        <f>AND(#REF!,"AAAAAHef91I=")</f>
        <v>#REF!</v>
      </c>
      <c r="CF63" t="e">
        <f>AND(#REF!,"AAAAAHef91M=")</f>
        <v>#REF!</v>
      </c>
      <c r="CG63" t="e">
        <f>AND(#REF!,"AAAAAHef91Q=")</f>
        <v>#REF!</v>
      </c>
      <c r="CH63" t="e">
        <f>AND(#REF!,"AAAAAHef91U=")</f>
        <v>#REF!</v>
      </c>
      <c r="CI63" t="e">
        <f>AND(#REF!,"AAAAAHef91Y=")</f>
        <v>#REF!</v>
      </c>
      <c r="CJ63" t="e">
        <f>AND(#REF!,"AAAAAHef91c=")</f>
        <v>#REF!</v>
      </c>
      <c r="CK63" t="e">
        <f>AND(#REF!,"AAAAAHef91g=")</f>
        <v>#REF!</v>
      </c>
      <c r="CL63" t="e">
        <f>AND(#REF!,"AAAAAHef91k=")</f>
        <v>#REF!</v>
      </c>
      <c r="CM63" t="e">
        <f>AND(#REF!,"AAAAAHef91o=")</f>
        <v>#REF!</v>
      </c>
      <c r="CN63" t="e">
        <f>AND(#REF!,"AAAAAHef91s=")</f>
        <v>#REF!</v>
      </c>
      <c r="CO63" t="e">
        <f>AND(#REF!,"AAAAAHef91w=")</f>
        <v>#REF!</v>
      </c>
      <c r="CP63" t="e">
        <f>AND(#REF!,"AAAAAHef910=")</f>
        <v>#REF!</v>
      </c>
      <c r="CQ63" t="e">
        <f>AND(#REF!,"AAAAAHef914=")</f>
        <v>#REF!</v>
      </c>
      <c r="CR63" t="e">
        <f>AND(#REF!,"AAAAAHef918=")</f>
        <v>#REF!</v>
      </c>
      <c r="CS63" t="e">
        <f>AND(#REF!,"AAAAAHef92A=")</f>
        <v>#REF!</v>
      </c>
      <c r="CT63" t="e">
        <f>AND(#REF!,"AAAAAHef92E=")</f>
        <v>#REF!</v>
      </c>
      <c r="CU63" t="e">
        <f>AND(#REF!,"AAAAAHef92I=")</f>
        <v>#REF!</v>
      </c>
      <c r="CV63" t="e">
        <f>AND(#REF!,"AAAAAHef92M=")</f>
        <v>#REF!</v>
      </c>
      <c r="CW63" t="e">
        <f>AND(#REF!,"AAAAAHef92Q=")</f>
        <v>#REF!</v>
      </c>
      <c r="CX63" t="e">
        <f>AND(#REF!,"AAAAAHef92U=")</f>
        <v>#REF!</v>
      </c>
      <c r="CY63" t="e">
        <f>AND(#REF!,"AAAAAHef92Y=")</f>
        <v>#REF!</v>
      </c>
      <c r="CZ63" t="e">
        <f>AND(#REF!,"AAAAAHef92c=")</f>
        <v>#REF!</v>
      </c>
      <c r="DA63" t="e">
        <f>AND(#REF!,"AAAAAHef92g=")</f>
        <v>#REF!</v>
      </c>
      <c r="DB63" t="e">
        <f>AND(#REF!,"AAAAAHef92k=")</f>
        <v>#REF!</v>
      </c>
      <c r="DC63" t="e">
        <f>AND(#REF!,"AAAAAHef92o=")</f>
        <v>#REF!</v>
      </c>
      <c r="DD63" t="e">
        <f>AND(#REF!,"AAAAAHef92s=")</f>
        <v>#REF!</v>
      </c>
      <c r="DE63" t="e">
        <f>AND(#REF!,"AAAAAHef92w=")</f>
        <v>#REF!</v>
      </c>
      <c r="DF63" t="e">
        <f>AND(#REF!,"AAAAAHef920=")</f>
        <v>#REF!</v>
      </c>
      <c r="DG63" t="e">
        <f>AND(#REF!,"AAAAAHef924=")</f>
        <v>#REF!</v>
      </c>
      <c r="DH63" t="e">
        <f>AND(#REF!,"AAAAAHef928=")</f>
        <v>#REF!</v>
      </c>
      <c r="DI63" t="e">
        <f>IF(#REF!,"AAAAAHef93A=",0)</f>
        <v>#REF!</v>
      </c>
      <c r="DJ63" t="e">
        <f>AND(#REF!,"AAAAAHef93E=")</f>
        <v>#REF!</v>
      </c>
      <c r="DK63" t="e">
        <f>AND(#REF!,"AAAAAHef93I=")</f>
        <v>#REF!</v>
      </c>
      <c r="DL63" t="e">
        <f>AND(#REF!,"AAAAAHef93M=")</f>
        <v>#REF!</v>
      </c>
      <c r="DM63" t="e">
        <f>AND(#REF!,"AAAAAHef93Q=")</f>
        <v>#REF!</v>
      </c>
      <c r="DN63" t="e">
        <f>AND(#REF!,"AAAAAHef93U=")</f>
        <v>#REF!</v>
      </c>
      <c r="DO63" t="e">
        <f>AND(#REF!,"AAAAAHef93Y=")</f>
        <v>#REF!</v>
      </c>
      <c r="DP63" t="e">
        <f>AND(#REF!,"AAAAAHef93c=")</f>
        <v>#REF!</v>
      </c>
      <c r="DQ63" t="e">
        <f>AND(#REF!,"AAAAAHef93g=")</f>
        <v>#REF!</v>
      </c>
      <c r="DR63" t="e">
        <f>AND(#REF!,"AAAAAHef93k=")</f>
        <v>#REF!</v>
      </c>
      <c r="DS63" t="e">
        <f>AND(#REF!,"AAAAAHef93o=")</f>
        <v>#REF!</v>
      </c>
      <c r="DT63" t="e">
        <f>AND(#REF!,"AAAAAHef93s=")</f>
        <v>#REF!</v>
      </c>
      <c r="DU63" t="e">
        <f>AND(#REF!,"AAAAAHef93w=")</f>
        <v>#REF!</v>
      </c>
      <c r="DV63" t="e">
        <f>AND(#REF!,"AAAAAHef930=")</f>
        <v>#REF!</v>
      </c>
      <c r="DW63" t="e">
        <f>AND(#REF!,"AAAAAHef934=")</f>
        <v>#REF!</v>
      </c>
      <c r="DX63" t="e">
        <f>AND(#REF!,"AAAAAHef938=")</f>
        <v>#REF!</v>
      </c>
      <c r="DY63" t="e">
        <f>AND(#REF!,"AAAAAHef94A=")</f>
        <v>#REF!</v>
      </c>
      <c r="DZ63" t="e">
        <f>AND(#REF!,"AAAAAHef94E=")</f>
        <v>#REF!</v>
      </c>
      <c r="EA63" t="e">
        <f>AND(#REF!,"AAAAAHef94I=")</f>
        <v>#REF!</v>
      </c>
      <c r="EB63" t="e">
        <f>AND(#REF!,"AAAAAHef94M=")</f>
        <v>#REF!</v>
      </c>
      <c r="EC63" t="e">
        <f>AND(#REF!,"AAAAAHef94Q=")</f>
        <v>#REF!</v>
      </c>
      <c r="ED63" t="e">
        <f>AND(#REF!,"AAAAAHef94U=")</f>
        <v>#REF!</v>
      </c>
      <c r="EE63" t="e">
        <f>AND(#REF!,"AAAAAHef94Y=")</f>
        <v>#REF!</v>
      </c>
      <c r="EF63" t="e">
        <f>AND(#REF!,"AAAAAHef94c=")</f>
        <v>#REF!</v>
      </c>
      <c r="EG63" t="e">
        <f>AND(#REF!,"AAAAAHef94g=")</f>
        <v>#REF!</v>
      </c>
      <c r="EH63" t="e">
        <f>AND(#REF!,"AAAAAHef94k=")</f>
        <v>#REF!</v>
      </c>
      <c r="EI63" t="e">
        <f>AND(#REF!,"AAAAAHef94o=")</f>
        <v>#REF!</v>
      </c>
      <c r="EJ63" t="e">
        <f>AND(#REF!,"AAAAAHef94s=")</f>
        <v>#REF!</v>
      </c>
      <c r="EK63" t="e">
        <f>AND(#REF!,"AAAAAHef94w=")</f>
        <v>#REF!</v>
      </c>
      <c r="EL63" t="e">
        <f>AND(#REF!,"AAAAAHef940=")</f>
        <v>#REF!</v>
      </c>
      <c r="EM63" t="e">
        <f>AND(#REF!,"AAAAAHef944=")</f>
        <v>#REF!</v>
      </c>
      <c r="EN63" t="e">
        <f>AND(#REF!,"AAAAAHef948=")</f>
        <v>#REF!</v>
      </c>
      <c r="EO63" t="e">
        <f>AND(#REF!,"AAAAAHef95A=")</f>
        <v>#REF!</v>
      </c>
      <c r="EP63" t="e">
        <f>AND(#REF!,"AAAAAHef95E=")</f>
        <v>#REF!</v>
      </c>
      <c r="EQ63" t="e">
        <f>AND(#REF!,"AAAAAHef95I=")</f>
        <v>#REF!</v>
      </c>
      <c r="ER63" t="e">
        <f>AND(#REF!,"AAAAAHef95M=")</f>
        <v>#REF!</v>
      </c>
      <c r="ES63" t="e">
        <f>AND(#REF!,"AAAAAHef95Q=")</f>
        <v>#REF!</v>
      </c>
      <c r="ET63" t="e">
        <f>AND(#REF!,"AAAAAHef95U=")</f>
        <v>#REF!</v>
      </c>
      <c r="EU63" t="e">
        <f>AND(#REF!,"AAAAAHef95Y=")</f>
        <v>#REF!</v>
      </c>
      <c r="EV63" t="e">
        <f>AND(#REF!,"AAAAAHef95c=")</f>
        <v>#REF!</v>
      </c>
      <c r="EW63" t="e">
        <f>AND(#REF!,"AAAAAHef95g=")</f>
        <v>#REF!</v>
      </c>
      <c r="EX63" t="e">
        <f>AND(#REF!,"AAAAAHef95k=")</f>
        <v>#REF!</v>
      </c>
      <c r="EY63" t="e">
        <f>AND(#REF!,"AAAAAHef95o=")</f>
        <v>#REF!</v>
      </c>
      <c r="EZ63" t="e">
        <f>AND(#REF!,"AAAAAHef95s=")</f>
        <v>#REF!</v>
      </c>
      <c r="FA63" t="e">
        <f>AND(#REF!,"AAAAAHef95w=")</f>
        <v>#REF!</v>
      </c>
      <c r="FB63" t="e">
        <f>AND(#REF!,"AAAAAHef950=")</f>
        <v>#REF!</v>
      </c>
      <c r="FC63" t="e">
        <f>AND(#REF!,"AAAAAHef954=")</f>
        <v>#REF!</v>
      </c>
      <c r="FD63" t="e">
        <f>AND(#REF!,"AAAAAHef958=")</f>
        <v>#REF!</v>
      </c>
      <c r="FE63" t="e">
        <f>AND(#REF!,"AAAAAHef96A=")</f>
        <v>#REF!</v>
      </c>
      <c r="FF63" t="e">
        <f>AND(#REF!,"AAAAAHef96E=")</f>
        <v>#REF!</v>
      </c>
      <c r="FG63" t="e">
        <f>AND(#REF!,"AAAAAHef96I=")</f>
        <v>#REF!</v>
      </c>
      <c r="FH63" t="e">
        <f>AND(#REF!,"AAAAAHef96M=")</f>
        <v>#REF!</v>
      </c>
      <c r="FI63" t="e">
        <f>AND(#REF!,"AAAAAHef96Q=")</f>
        <v>#REF!</v>
      </c>
      <c r="FJ63" t="e">
        <f>AND(#REF!,"AAAAAHef96U=")</f>
        <v>#REF!</v>
      </c>
      <c r="FK63" t="e">
        <f>AND(#REF!,"AAAAAHef96Y=")</f>
        <v>#REF!</v>
      </c>
      <c r="FL63" t="e">
        <f>IF(#REF!,"AAAAAHef96c=",0)</f>
        <v>#REF!</v>
      </c>
      <c r="FM63" t="e">
        <f>AND(#REF!,"AAAAAHef96g=")</f>
        <v>#REF!</v>
      </c>
      <c r="FN63" t="e">
        <f>AND(#REF!,"AAAAAHef96k=")</f>
        <v>#REF!</v>
      </c>
      <c r="FO63" t="e">
        <f>AND(#REF!,"AAAAAHef96o=")</f>
        <v>#REF!</v>
      </c>
      <c r="FP63" t="e">
        <f>AND(#REF!,"AAAAAHef96s=")</f>
        <v>#REF!</v>
      </c>
      <c r="FQ63" t="e">
        <f>AND(#REF!,"AAAAAHef96w=")</f>
        <v>#REF!</v>
      </c>
      <c r="FR63" t="e">
        <f>AND(#REF!,"AAAAAHef960=")</f>
        <v>#REF!</v>
      </c>
      <c r="FS63" t="e">
        <f>AND(#REF!,"AAAAAHef964=")</f>
        <v>#REF!</v>
      </c>
      <c r="FT63" t="e">
        <f>AND(#REF!,"AAAAAHef968=")</f>
        <v>#REF!</v>
      </c>
      <c r="FU63" t="e">
        <f>AND(#REF!,"AAAAAHef97A=")</f>
        <v>#REF!</v>
      </c>
      <c r="FV63" t="e">
        <f>AND(#REF!,"AAAAAHef97E=")</f>
        <v>#REF!</v>
      </c>
      <c r="FW63" t="e">
        <f>AND(#REF!,"AAAAAHef97I=")</f>
        <v>#REF!</v>
      </c>
      <c r="FX63" t="e">
        <f>AND(#REF!,"AAAAAHef97M=")</f>
        <v>#REF!</v>
      </c>
      <c r="FY63" t="e">
        <f>AND(#REF!,"AAAAAHef97Q=")</f>
        <v>#REF!</v>
      </c>
      <c r="FZ63" t="e">
        <f>AND(#REF!,"AAAAAHef97U=")</f>
        <v>#REF!</v>
      </c>
      <c r="GA63" t="e">
        <f>AND(#REF!,"AAAAAHef97Y=")</f>
        <v>#REF!</v>
      </c>
      <c r="GB63" t="e">
        <f>AND(#REF!,"AAAAAHef97c=")</f>
        <v>#REF!</v>
      </c>
      <c r="GC63" t="e">
        <f>AND(#REF!,"AAAAAHef97g=")</f>
        <v>#REF!</v>
      </c>
      <c r="GD63" t="e">
        <f>AND(#REF!,"AAAAAHef97k=")</f>
        <v>#REF!</v>
      </c>
      <c r="GE63" t="e">
        <f>AND(#REF!,"AAAAAHef97o=")</f>
        <v>#REF!</v>
      </c>
      <c r="GF63" t="e">
        <f>AND(#REF!,"AAAAAHef97s=")</f>
        <v>#REF!</v>
      </c>
      <c r="GG63" t="e">
        <f>AND(#REF!,"AAAAAHef97w=")</f>
        <v>#REF!</v>
      </c>
      <c r="GH63" t="e">
        <f>AND(#REF!,"AAAAAHef970=")</f>
        <v>#REF!</v>
      </c>
      <c r="GI63" t="e">
        <f>AND(#REF!,"AAAAAHef974=")</f>
        <v>#REF!</v>
      </c>
      <c r="GJ63" t="e">
        <f>AND(#REF!,"AAAAAHef978=")</f>
        <v>#REF!</v>
      </c>
      <c r="GK63" t="e">
        <f>AND(#REF!,"AAAAAHef98A=")</f>
        <v>#REF!</v>
      </c>
      <c r="GL63" t="e">
        <f>AND(#REF!,"AAAAAHef98E=")</f>
        <v>#REF!</v>
      </c>
      <c r="GM63" t="e">
        <f>AND(#REF!,"AAAAAHef98I=")</f>
        <v>#REF!</v>
      </c>
      <c r="GN63" t="e">
        <f>AND(#REF!,"AAAAAHef98M=")</f>
        <v>#REF!</v>
      </c>
      <c r="GO63" t="e">
        <f>AND(#REF!,"AAAAAHef98Q=")</f>
        <v>#REF!</v>
      </c>
      <c r="GP63" t="e">
        <f>AND(#REF!,"AAAAAHef98U=")</f>
        <v>#REF!</v>
      </c>
      <c r="GQ63" t="e">
        <f>AND(#REF!,"AAAAAHef98Y=")</f>
        <v>#REF!</v>
      </c>
      <c r="GR63" t="e">
        <f>AND(#REF!,"AAAAAHef98c=")</f>
        <v>#REF!</v>
      </c>
      <c r="GS63" t="e">
        <f>AND(#REF!,"AAAAAHef98g=")</f>
        <v>#REF!</v>
      </c>
      <c r="GT63" t="e">
        <f>AND(#REF!,"AAAAAHef98k=")</f>
        <v>#REF!</v>
      </c>
      <c r="GU63" t="e">
        <f>AND(#REF!,"AAAAAHef98o=")</f>
        <v>#REF!</v>
      </c>
      <c r="GV63" t="e">
        <f>AND(#REF!,"AAAAAHef98s=")</f>
        <v>#REF!</v>
      </c>
      <c r="GW63" t="e">
        <f>AND(#REF!,"AAAAAHef98w=")</f>
        <v>#REF!</v>
      </c>
      <c r="GX63" t="e">
        <f>AND(#REF!,"AAAAAHef980=")</f>
        <v>#REF!</v>
      </c>
      <c r="GY63" t="e">
        <f>AND(#REF!,"AAAAAHef984=")</f>
        <v>#REF!</v>
      </c>
      <c r="GZ63" t="e">
        <f>AND(#REF!,"AAAAAHef988=")</f>
        <v>#REF!</v>
      </c>
      <c r="HA63" t="e">
        <f>AND(#REF!,"AAAAAHef99A=")</f>
        <v>#REF!</v>
      </c>
      <c r="HB63" t="e">
        <f>AND(#REF!,"AAAAAHef99E=")</f>
        <v>#REF!</v>
      </c>
      <c r="HC63" t="e">
        <f>AND(#REF!,"AAAAAHef99I=")</f>
        <v>#REF!</v>
      </c>
      <c r="HD63" t="e">
        <f>AND(#REF!,"AAAAAHef99M=")</f>
        <v>#REF!</v>
      </c>
      <c r="HE63" t="e">
        <f>AND(#REF!,"AAAAAHef99Q=")</f>
        <v>#REF!</v>
      </c>
      <c r="HF63" t="e">
        <f>AND(#REF!,"AAAAAHef99U=")</f>
        <v>#REF!</v>
      </c>
      <c r="HG63" t="e">
        <f>AND(#REF!,"AAAAAHef99Y=")</f>
        <v>#REF!</v>
      </c>
      <c r="HH63" t="e">
        <f>AND(#REF!,"AAAAAHef99c=")</f>
        <v>#REF!</v>
      </c>
      <c r="HI63" t="e">
        <f>AND(#REF!,"AAAAAHef99g=")</f>
        <v>#REF!</v>
      </c>
      <c r="HJ63" t="e">
        <f>AND(#REF!,"AAAAAHef99k=")</f>
        <v>#REF!</v>
      </c>
      <c r="HK63" t="e">
        <f>AND(#REF!,"AAAAAHef99o=")</f>
        <v>#REF!</v>
      </c>
      <c r="HL63" t="e">
        <f>AND(#REF!,"AAAAAHef99s=")</f>
        <v>#REF!</v>
      </c>
      <c r="HM63" t="e">
        <f>AND(#REF!,"AAAAAHef99w=")</f>
        <v>#REF!</v>
      </c>
      <c r="HN63" t="e">
        <f>AND(#REF!,"AAAAAHef990=")</f>
        <v>#REF!</v>
      </c>
      <c r="HO63" t="e">
        <f>IF(#REF!,"AAAAAHef994=",0)</f>
        <v>#REF!</v>
      </c>
      <c r="HP63" t="e">
        <f>AND(#REF!,"AAAAAHef998=")</f>
        <v>#REF!</v>
      </c>
      <c r="HQ63" t="e">
        <f>AND(#REF!,"AAAAAHef9+A=")</f>
        <v>#REF!</v>
      </c>
      <c r="HR63" t="e">
        <f>AND(#REF!,"AAAAAHef9+E=")</f>
        <v>#REF!</v>
      </c>
      <c r="HS63" t="e">
        <f>AND(#REF!,"AAAAAHef9+I=")</f>
        <v>#REF!</v>
      </c>
      <c r="HT63" t="e">
        <f>AND(#REF!,"AAAAAHef9+M=")</f>
        <v>#REF!</v>
      </c>
      <c r="HU63" t="e">
        <f>AND(#REF!,"AAAAAHef9+Q=")</f>
        <v>#REF!</v>
      </c>
      <c r="HV63" t="e">
        <f>AND(#REF!,"AAAAAHef9+U=")</f>
        <v>#REF!</v>
      </c>
      <c r="HW63" t="e">
        <f>AND(#REF!,"AAAAAHef9+Y=")</f>
        <v>#REF!</v>
      </c>
      <c r="HX63" t="e">
        <f>AND(#REF!,"AAAAAHef9+c=")</f>
        <v>#REF!</v>
      </c>
      <c r="HY63" t="e">
        <f>AND(#REF!,"AAAAAHef9+g=")</f>
        <v>#REF!</v>
      </c>
      <c r="HZ63" t="e">
        <f>AND(#REF!,"AAAAAHef9+k=")</f>
        <v>#REF!</v>
      </c>
      <c r="IA63" t="e">
        <f>AND(#REF!,"AAAAAHef9+o=")</f>
        <v>#REF!</v>
      </c>
      <c r="IB63" t="e">
        <f>AND(#REF!,"AAAAAHef9+s=")</f>
        <v>#REF!</v>
      </c>
      <c r="IC63" t="e">
        <f>AND(#REF!,"AAAAAHef9+w=")</f>
        <v>#REF!</v>
      </c>
      <c r="ID63" t="e">
        <f>AND(#REF!,"AAAAAHef9+0=")</f>
        <v>#REF!</v>
      </c>
      <c r="IE63" t="e">
        <f>AND(#REF!,"AAAAAHef9+4=")</f>
        <v>#REF!</v>
      </c>
      <c r="IF63" t="e">
        <f>AND(#REF!,"AAAAAHef9+8=")</f>
        <v>#REF!</v>
      </c>
      <c r="IG63" t="e">
        <f>AND(#REF!,"AAAAAHef9/A=")</f>
        <v>#REF!</v>
      </c>
      <c r="IH63" t="e">
        <f>AND(#REF!,"AAAAAHef9/E=")</f>
        <v>#REF!</v>
      </c>
      <c r="II63" t="e">
        <f>AND(#REF!,"AAAAAHef9/I=")</f>
        <v>#REF!</v>
      </c>
      <c r="IJ63" t="e">
        <f>AND(#REF!,"AAAAAHef9/M=")</f>
        <v>#REF!</v>
      </c>
      <c r="IK63" t="e">
        <f>AND(#REF!,"AAAAAHef9/Q=")</f>
        <v>#REF!</v>
      </c>
      <c r="IL63" t="e">
        <f>AND(#REF!,"AAAAAHef9/U=")</f>
        <v>#REF!</v>
      </c>
      <c r="IM63" t="e">
        <f>AND(#REF!,"AAAAAHef9/Y=")</f>
        <v>#REF!</v>
      </c>
      <c r="IN63" t="e">
        <f>AND(#REF!,"AAAAAHef9/c=")</f>
        <v>#REF!</v>
      </c>
      <c r="IO63" t="e">
        <f>AND(#REF!,"AAAAAHef9/g=")</f>
        <v>#REF!</v>
      </c>
      <c r="IP63" t="e">
        <f>AND(#REF!,"AAAAAHef9/k=")</f>
        <v>#REF!</v>
      </c>
      <c r="IQ63" t="e">
        <f>AND(#REF!,"AAAAAHef9/o=")</f>
        <v>#REF!</v>
      </c>
      <c r="IR63" t="e">
        <f>AND(#REF!,"AAAAAHef9/s=")</f>
        <v>#REF!</v>
      </c>
      <c r="IS63" t="e">
        <f>AND(#REF!,"AAAAAHef9/w=")</f>
        <v>#REF!</v>
      </c>
      <c r="IT63" t="e">
        <f>AND(#REF!,"AAAAAHef9/0=")</f>
        <v>#REF!</v>
      </c>
      <c r="IU63" t="e">
        <f>AND(#REF!,"AAAAAHef9/4=")</f>
        <v>#REF!</v>
      </c>
      <c r="IV63" t="e">
        <f>AND(#REF!,"AAAAAHef9/8=")</f>
        <v>#REF!</v>
      </c>
    </row>
    <row r="64" spans="1:256" x14ac:dyDescent="0.25">
      <c r="A64" t="e">
        <f>AND(#REF!,"AAAAAHveuwA=")</f>
        <v>#REF!</v>
      </c>
      <c r="B64" t="e">
        <f>AND(#REF!,"AAAAAHveuwE=")</f>
        <v>#REF!</v>
      </c>
      <c r="C64" t="e">
        <f>AND(#REF!,"AAAAAHveuwI=")</f>
        <v>#REF!</v>
      </c>
      <c r="D64" t="e">
        <f>AND(#REF!,"AAAAAHveuwM=")</f>
        <v>#REF!</v>
      </c>
      <c r="E64" t="e">
        <f>AND(#REF!,"AAAAAHveuwQ=")</f>
        <v>#REF!</v>
      </c>
      <c r="F64" t="e">
        <f>AND(#REF!,"AAAAAHveuwU=")</f>
        <v>#REF!</v>
      </c>
      <c r="G64" t="e">
        <f>AND(#REF!,"AAAAAHveuwY=")</f>
        <v>#REF!</v>
      </c>
      <c r="H64" t="e">
        <f>AND(#REF!,"AAAAAHveuwc=")</f>
        <v>#REF!</v>
      </c>
      <c r="I64" t="e">
        <f>AND(#REF!,"AAAAAHveuwg=")</f>
        <v>#REF!</v>
      </c>
      <c r="J64" t="e">
        <f>AND(#REF!,"AAAAAHveuwk=")</f>
        <v>#REF!</v>
      </c>
      <c r="K64" t="e">
        <f>AND(#REF!,"AAAAAHveuwo=")</f>
        <v>#REF!</v>
      </c>
      <c r="L64" t="e">
        <f>AND(#REF!,"AAAAAHveuws=")</f>
        <v>#REF!</v>
      </c>
      <c r="M64" t="e">
        <f>AND(#REF!,"AAAAAHveuww=")</f>
        <v>#REF!</v>
      </c>
      <c r="N64" t="e">
        <f>AND(#REF!,"AAAAAHveuw0=")</f>
        <v>#REF!</v>
      </c>
      <c r="O64" t="e">
        <f>AND(#REF!,"AAAAAHveuw4=")</f>
        <v>#REF!</v>
      </c>
      <c r="P64" t="e">
        <f>AND(#REF!,"AAAAAHveuw8=")</f>
        <v>#REF!</v>
      </c>
      <c r="Q64" t="e">
        <f>AND(#REF!,"AAAAAHveuxA=")</f>
        <v>#REF!</v>
      </c>
      <c r="R64" t="e">
        <f>AND(#REF!,"AAAAAHveuxE=")</f>
        <v>#REF!</v>
      </c>
      <c r="S64" t="e">
        <f>AND(#REF!,"AAAAAHveuxI=")</f>
        <v>#REF!</v>
      </c>
      <c r="T64" t="e">
        <f>AND(#REF!,"AAAAAHveuxM=")</f>
        <v>#REF!</v>
      </c>
      <c r="U64" t="e">
        <f>AND(#REF!,"AAAAAHveuxQ=")</f>
        <v>#REF!</v>
      </c>
      <c r="V64" t="e">
        <f>IF(#REF!,"AAAAAHveuxU=",0)</f>
        <v>#REF!</v>
      </c>
      <c r="W64" t="e">
        <f>AND(#REF!,"AAAAAHveuxY=")</f>
        <v>#REF!</v>
      </c>
      <c r="X64" t="e">
        <f>AND(#REF!,"AAAAAHveuxc=")</f>
        <v>#REF!</v>
      </c>
      <c r="Y64" t="e">
        <f>AND(#REF!,"AAAAAHveuxg=")</f>
        <v>#REF!</v>
      </c>
      <c r="Z64" t="e">
        <f>AND(#REF!,"AAAAAHveuxk=")</f>
        <v>#REF!</v>
      </c>
      <c r="AA64" t="e">
        <f>AND(#REF!,"AAAAAHveuxo=")</f>
        <v>#REF!</v>
      </c>
      <c r="AB64" t="e">
        <f>AND(#REF!,"AAAAAHveuxs=")</f>
        <v>#REF!</v>
      </c>
      <c r="AC64" t="e">
        <f>AND(#REF!,"AAAAAHveuxw=")</f>
        <v>#REF!</v>
      </c>
      <c r="AD64" t="e">
        <f>AND(#REF!,"AAAAAHveux0=")</f>
        <v>#REF!</v>
      </c>
      <c r="AE64" t="e">
        <f>AND(#REF!,"AAAAAHveux4=")</f>
        <v>#REF!</v>
      </c>
      <c r="AF64" t="e">
        <f>AND(#REF!,"AAAAAHveux8=")</f>
        <v>#REF!</v>
      </c>
      <c r="AG64" t="e">
        <f>AND(#REF!,"AAAAAHveuyA=")</f>
        <v>#REF!</v>
      </c>
      <c r="AH64" t="e">
        <f>AND(#REF!,"AAAAAHveuyE=")</f>
        <v>#REF!</v>
      </c>
      <c r="AI64" t="e">
        <f>AND(#REF!,"AAAAAHveuyI=")</f>
        <v>#REF!</v>
      </c>
      <c r="AJ64" t="e">
        <f>AND(#REF!,"AAAAAHveuyM=")</f>
        <v>#REF!</v>
      </c>
      <c r="AK64" t="e">
        <f>AND(#REF!,"AAAAAHveuyQ=")</f>
        <v>#REF!</v>
      </c>
      <c r="AL64" t="e">
        <f>AND(#REF!,"AAAAAHveuyU=")</f>
        <v>#REF!</v>
      </c>
      <c r="AM64" t="e">
        <f>AND(#REF!,"AAAAAHveuyY=")</f>
        <v>#REF!</v>
      </c>
      <c r="AN64" t="e">
        <f>AND(#REF!,"AAAAAHveuyc=")</f>
        <v>#REF!</v>
      </c>
      <c r="AO64" t="e">
        <f>AND(#REF!,"AAAAAHveuyg=")</f>
        <v>#REF!</v>
      </c>
      <c r="AP64" t="e">
        <f>AND(#REF!,"AAAAAHveuyk=")</f>
        <v>#REF!</v>
      </c>
      <c r="AQ64" t="e">
        <f>AND(#REF!,"AAAAAHveuyo=")</f>
        <v>#REF!</v>
      </c>
      <c r="AR64" t="e">
        <f>AND(#REF!,"AAAAAHveuys=")</f>
        <v>#REF!</v>
      </c>
      <c r="AS64" t="e">
        <f>AND(#REF!,"AAAAAHveuyw=")</f>
        <v>#REF!</v>
      </c>
      <c r="AT64" t="e">
        <f>AND(#REF!,"AAAAAHveuy0=")</f>
        <v>#REF!</v>
      </c>
      <c r="AU64" t="e">
        <f>AND(#REF!,"AAAAAHveuy4=")</f>
        <v>#REF!</v>
      </c>
      <c r="AV64" t="e">
        <f>AND(#REF!,"AAAAAHveuy8=")</f>
        <v>#REF!</v>
      </c>
      <c r="AW64" t="e">
        <f>AND(#REF!,"AAAAAHveuzA=")</f>
        <v>#REF!</v>
      </c>
      <c r="AX64" t="e">
        <f>AND(#REF!,"AAAAAHveuzE=")</f>
        <v>#REF!</v>
      </c>
      <c r="AY64" t="e">
        <f>AND(#REF!,"AAAAAHveuzI=")</f>
        <v>#REF!</v>
      </c>
      <c r="AZ64" t="e">
        <f>AND(#REF!,"AAAAAHveuzM=")</f>
        <v>#REF!</v>
      </c>
      <c r="BA64" t="e">
        <f>AND(#REF!,"AAAAAHveuzQ=")</f>
        <v>#REF!</v>
      </c>
      <c r="BB64" t="e">
        <f>AND(#REF!,"AAAAAHveuzU=")</f>
        <v>#REF!</v>
      </c>
      <c r="BC64" t="e">
        <f>AND(#REF!,"AAAAAHveuzY=")</f>
        <v>#REF!</v>
      </c>
      <c r="BD64" t="e">
        <f>AND(#REF!,"AAAAAHveuzc=")</f>
        <v>#REF!</v>
      </c>
      <c r="BE64" t="e">
        <f>AND(#REF!,"AAAAAHveuzg=")</f>
        <v>#REF!</v>
      </c>
      <c r="BF64" t="e">
        <f>AND(#REF!,"AAAAAHveuzk=")</f>
        <v>#REF!</v>
      </c>
      <c r="BG64" t="e">
        <f>AND(#REF!,"AAAAAHveuzo=")</f>
        <v>#REF!</v>
      </c>
      <c r="BH64" t="e">
        <f>AND(#REF!,"AAAAAHveuzs=")</f>
        <v>#REF!</v>
      </c>
      <c r="BI64" t="e">
        <f>AND(#REF!,"AAAAAHveuzw=")</f>
        <v>#REF!</v>
      </c>
      <c r="BJ64" t="e">
        <f>AND(#REF!,"AAAAAHveuz0=")</f>
        <v>#REF!</v>
      </c>
      <c r="BK64" t="e">
        <f>AND(#REF!,"AAAAAHveuz4=")</f>
        <v>#REF!</v>
      </c>
      <c r="BL64" t="e">
        <f>AND(#REF!,"AAAAAHveuz8=")</f>
        <v>#REF!</v>
      </c>
      <c r="BM64" t="e">
        <f>AND(#REF!,"AAAAAHveu0A=")</f>
        <v>#REF!</v>
      </c>
      <c r="BN64" t="e">
        <f>AND(#REF!,"AAAAAHveu0E=")</f>
        <v>#REF!</v>
      </c>
      <c r="BO64" t="e">
        <f>AND(#REF!,"AAAAAHveu0I=")</f>
        <v>#REF!</v>
      </c>
      <c r="BP64" t="e">
        <f>AND(#REF!,"AAAAAHveu0M=")</f>
        <v>#REF!</v>
      </c>
      <c r="BQ64" t="e">
        <f>AND(#REF!,"AAAAAHveu0Q=")</f>
        <v>#REF!</v>
      </c>
      <c r="BR64" t="e">
        <f>AND(#REF!,"AAAAAHveu0U=")</f>
        <v>#REF!</v>
      </c>
      <c r="BS64" t="e">
        <f>AND(#REF!,"AAAAAHveu0Y=")</f>
        <v>#REF!</v>
      </c>
      <c r="BT64" t="e">
        <f>AND(#REF!,"AAAAAHveu0c=")</f>
        <v>#REF!</v>
      </c>
      <c r="BU64" t="e">
        <f>AND(#REF!,"AAAAAHveu0g=")</f>
        <v>#REF!</v>
      </c>
      <c r="BV64" t="e">
        <f>AND(#REF!,"AAAAAHveu0k=")</f>
        <v>#REF!</v>
      </c>
      <c r="BW64" t="e">
        <f>AND(#REF!,"AAAAAHveu0o=")</f>
        <v>#REF!</v>
      </c>
      <c r="BX64" t="e">
        <f>AND(#REF!,"AAAAAHveu0s=")</f>
        <v>#REF!</v>
      </c>
      <c r="BY64" t="e">
        <f>IF(#REF!,"AAAAAHveu0w=",0)</f>
        <v>#REF!</v>
      </c>
      <c r="BZ64" t="e">
        <f>AND(#REF!,"AAAAAHveu00=")</f>
        <v>#REF!</v>
      </c>
      <c r="CA64" t="e">
        <f>AND(#REF!,"AAAAAHveu04=")</f>
        <v>#REF!</v>
      </c>
      <c r="CB64" t="e">
        <f>AND(#REF!,"AAAAAHveu08=")</f>
        <v>#REF!</v>
      </c>
      <c r="CC64" t="e">
        <f>AND(#REF!,"AAAAAHveu1A=")</f>
        <v>#REF!</v>
      </c>
      <c r="CD64" t="e">
        <f>AND(#REF!,"AAAAAHveu1E=")</f>
        <v>#REF!</v>
      </c>
      <c r="CE64" t="e">
        <f>AND(#REF!,"AAAAAHveu1I=")</f>
        <v>#REF!</v>
      </c>
      <c r="CF64" t="e">
        <f>AND(#REF!,"AAAAAHveu1M=")</f>
        <v>#REF!</v>
      </c>
      <c r="CG64" t="e">
        <f>AND(#REF!,"AAAAAHveu1Q=")</f>
        <v>#REF!</v>
      </c>
      <c r="CH64" t="e">
        <f>AND(#REF!,"AAAAAHveu1U=")</f>
        <v>#REF!</v>
      </c>
      <c r="CI64" t="e">
        <f>AND(#REF!,"AAAAAHveu1Y=")</f>
        <v>#REF!</v>
      </c>
      <c r="CJ64" t="e">
        <f>AND(#REF!,"AAAAAHveu1c=")</f>
        <v>#REF!</v>
      </c>
      <c r="CK64" t="e">
        <f>AND(#REF!,"AAAAAHveu1g=")</f>
        <v>#REF!</v>
      </c>
      <c r="CL64" t="e">
        <f>AND(#REF!,"AAAAAHveu1k=")</f>
        <v>#REF!</v>
      </c>
      <c r="CM64" t="e">
        <f>AND(#REF!,"AAAAAHveu1o=")</f>
        <v>#REF!</v>
      </c>
      <c r="CN64" t="e">
        <f>AND(#REF!,"AAAAAHveu1s=")</f>
        <v>#REF!</v>
      </c>
      <c r="CO64" t="e">
        <f>AND(#REF!,"AAAAAHveu1w=")</f>
        <v>#REF!</v>
      </c>
      <c r="CP64" t="e">
        <f>AND(#REF!,"AAAAAHveu10=")</f>
        <v>#REF!</v>
      </c>
      <c r="CQ64" t="e">
        <f>AND(#REF!,"AAAAAHveu14=")</f>
        <v>#REF!</v>
      </c>
      <c r="CR64" t="e">
        <f>AND(#REF!,"AAAAAHveu18=")</f>
        <v>#REF!</v>
      </c>
      <c r="CS64" t="e">
        <f>AND(#REF!,"AAAAAHveu2A=")</f>
        <v>#REF!</v>
      </c>
      <c r="CT64" t="e">
        <f>AND(#REF!,"AAAAAHveu2E=")</f>
        <v>#REF!</v>
      </c>
      <c r="CU64" t="e">
        <f>AND(#REF!,"AAAAAHveu2I=")</f>
        <v>#REF!</v>
      </c>
      <c r="CV64" t="e">
        <f>AND(#REF!,"AAAAAHveu2M=")</f>
        <v>#REF!</v>
      </c>
      <c r="CW64" t="e">
        <f>AND(#REF!,"AAAAAHveu2Q=")</f>
        <v>#REF!</v>
      </c>
      <c r="CX64" t="e">
        <f>AND(#REF!,"AAAAAHveu2U=")</f>
        <v>#REF!</v>
      </c>
      <c r="CY64" t="e">
        <f>AND(#REF!,"AAAAAHveu2Y=")</f>
        <v>#REF!</v>
      </c>
      <c r="CZ64" t="e">
        <f>AND(#REF!,"AAAAAHveu2c=")</f>
        <v>#REF!</v>
      </c>
      <c r="DA64" t="e">
        <f>AND(#REF!,"AAAAAHveu2g=")</f>
        <v>#REF!</v>
      </c>
      <c r="DB64" t="e">
        <f>AND(#REF!,"AAAAAHveu2k=")</f>
        <v>#REF!</v>
      </c>
      <c r="DC64" t="e">
        <f>AND(#REF!,"AAAAAHveu2o=")</f>
        <v>#REF!</v>
      </c>
      <c r="DD64" t="e">
        <f>AND(#REF!,"AAAAAHveu2s=")</f>
        <v>#REF!</v>
      </c>
      <c r="DE64" t="e">
        <f>AND(#REF!,"AAAAAHveu2w=")</f>
        <v>#REF!</v>
      </c>
      <c r="DF64" t="e">
        <f>AND(#REF!,"AAAAAHveu20=")</f>
        <v>#REF!</v>
      </c>
      <c r="DG64" t="e">
        <f>AND(#REF!,"AAAAAHveu24=")</f>
        <v>#REF!</v>
      </c>
      <c r="DH64" t="e">
        <f>AND(#REF!,"AAAAAHveu28=")</f>
        <v>#REF!</v>
      </c>
      <c r="DI64" t="e">
        <f>AND(#REF!,"AAAAAHveu3A=")</f>
        <v>#REF!</v>
      </c>
      <c r="DJ64" t="e">
        <f>AND(#REF!,"AAAAAHveu3E=")</f>
        <v>#REF!</v>
      </c>
      <c r="DK64" t="e">
        <f>AND(#REF!,"AAAAAHveu3I=")</f>
        <v>#REF!</v>
      </c>
      <c r="DL64" t="e">
        <f>AND(#REF!,"AAAAAHveu3M=")</f>
        <v>#REF!</v>
      </c>
      <c r="DM64" t="e">
        <f>AND(#REF!,"AAAAAHveu3Q=")</f>
        <v>#REF!</v>
      </c>
      <c r="DN64" t="e">
        <f>AND(#REF!,"AAAAAHveu3U=")</f>
        <v>#REF!</v>
      </c>
      <c r="DO64" t="e">
        <f>AND(#REF!,"AAAAAHveu3Y=")</f>
        <v>#REF!</v>
      </c>
      <c r="DP64" t="e">
        <f>AND(#REF!,"AAAAAHveu3c=")</f>
        <v>#REF!</v>
      </c>
      <c r="DQ64" t="e">
        <f>AND(#REF!,"AAAAAHveu3g=")</f>
        <v>#REF!</v>
      </c>
      <c r="DR64" t="e">
        <f>AND(#REF!,"AAAAAHveu3k=")</f>
        <v>#REF!</v>
      </c>
      <c r="DS64" t="e">
        <f>AND(#REF!,"AAAAAHveu3o=")</f>
        <v>#REF!</v>
      </c>
      <c r="DT64" t="e">
        <f>AND(#REF!,"AAAAAHveu3s=")</f>
        <v>#REF!</v>
      </c>
      <c r="DU64" t="e">
        <f>AND(#REF!,"AAAAAHveu3w=")</f>
        <v>#REF!</v>
      </c>
      <c r="DV64" t="e">
        <f>AND(#REF!,"AAAAAHveu30=")</f>
        <v>#REF!</v>
      </c>
      <c r="DW64" t="e">
        <f>AND(#REF!,"AAAAAHveu34=")</f>
        <v>#REF!</v>
      </c>
      <c r="DX64" t="e">
        <f>AND(#REF!,"AAAAAHveu38=")</f>
        <v>#REF!</v>
      </c>
      <c r="DY64" t="e">
        <f>AND(#REF!,"AAAAAHveu4A=")</f>
        <v>#REF!</v>
      </c>
      <c r="DZ64" t="e">
        <f>AND(#REF!,"AAAAAHveu4E=")</f>
        <v>#REF!</v>
      </c>
      <c r="EA64" t="e">
        <f>AND(#REF!,"AAAAAHveu4I=")</f>
        <v>#REF!</v>
      </c>
      <c r="EB64" t="e">
        <f>IF(#REF!,"AAAAAHveu4M=",0)</f>
        <v>#REF!</v>
      </c>
      <c r="EC64" t="e">
        <f>AND(#REF!,"AAAAAHveu4Q=")</f>
        <v>#REF!</v>
      </c>
      <c r="ED64" t="e">
        <f>AND(#REF!,"AAAAAHveu4U=")</f>
        <v>#REF!</v>
      </c>
      <c r="EE64" t="e">
        <f>AND(#REF!,"AAAAAHveu4Y=")</f>
        <v>#REF!</v>
      </c>
      <c r="EF64" t="e">
        <f>AND(#REF!,"AAAAAHveu4c=")</f>
        <v>#REF!</v>
      </c>
      <c r="EG64" t="e">
        <f>AND(#REF!,"AAAAAHveu4g=")</f>
        <v>#REF!</v>
      </c>
      <c r="EH64" t="e">
        <f>AND(#REF!,"AAAAAHveu4k=")</f>
        <v>#REF!</v>
      </c>
      <c r="EI64" t="e">
        <f>AND(#REF!,"AAAAAHveu4o=")</f>
        <v>#REF!</v>
      </c>
      <c r="EJ64" t="e">
        <f>AND(#REF!,"AAAAAHveu4s=")</f>
        <v>#REF!</v>
      </c>
      <c r="EK64" t="e">
        <f>AND(#REF!,"AAAAAHveu4w=")</f>
        <v>#REF!</v>
      </c>
      <c r="EL64" t="e">
        <f>AND(#REF!,"AAAAAHveu40=")</f>
        <v>#REF!</v>
      </c>
      <c r="EM64" t="e">
        <f>AND(#REF!,"AAAAAHveu44=")</f>
        <v>#REF!</v>
      </c>
      <c r="EN64" t="e">
        <f>AND(#REF!,"AAAAAHveu48=")</f>
        <v>#REF!</v>
      </c>
      <c r="EO64" t="e">
        <f>AND(#REF!,"AAAAAHveu5A=")</f>
        <v>#REF!</v>
      </c>
      <c r="EP64" t="e">
        <f>AND(#REF!,"AAAAAHveu5E=")</f>
        <v>#REF!</v>
      </c>
      <c r="EQ64" t="e">
        <f>AND(#REF!,"AAAAAHveu5I=")</f>
        <v>#REF!</v>
      </c>
      <c r="ER64" t="e">
        <f>AND(#REF!,"AAAAAHveu5M=")</f>
        <v>#REF!</v>
      </c>
      <c r="ES64" t="e">
        <f>AND(#REF!,"AAAAAHveu5Q=")</f>
        <v>#REF!</v>
      </c>
      <c r="ET64" t="e">
        <f>AND(#REF!,"AAAAAHveu5U=")</f>
        <v>#REF!</v>
      </c>
      <c r="EU64" t="e">
        <f>AND(#REF!,"AAAAAHveu5Y=")</f>
        <v>#REF!</v>
      </c>
      <c r="EV64" t="e">
        <f>AND(#REF!,"AAAAAHveu5c=")</f>
        <v>#REF!</v>
      </c>
      <c r="EW64" t="e">
        <f>AND(#REF!,"AAAAAHveu5g=")</f>
        <v>#REF!</v>
      </c>
      <c r="EX64" t="e">
        <f>AND(#REF!,"AAAAAHveu5k=")</f>
        <v>#REF!</v>
      </c>
      <c r="EY64" t="e">
        <f>AND(#REF!,"AAAAAHveu5o=")</f>
        <v>#REF!</v>
      </c>
      <c r="EZ64" t="e">
        <f>AND(#REF!,"AAAAAHveu5s=")</f>
        <v>#REF!</v>
      </c>
      <c r="FA64" t="e">
        <f>AND(#REF!,"AAAAAHveu5w=")</f>
        <v>#REF!</v>
      </c>
      <c r="FB64" t="e">
        <f>AND(#REF!,"AAAAAHveu50=")</f>
        <v>#REF!</v>
      </c>
      <c r="FC64" t="e">
        <f>AND(#REF!,"AAAAAHveu54=")</f>
        <v>#REF!</v>
      </c>
      <c r="FD64" t="e">
        <f>AND(#REF!,"AAAAAHveu58=")</f>
        <v>#REF!</v>
      </c>
      <c r="FE64" t="e">
        <f>AND(#REF!,"AAAAAHveu6A=")</f>
        <v>#REF!</v>
      </c>
      <c r="FF64" t="e">
        <f>AND(#REF!,"AAAAAHveu6E=")</f>
        <v>#REF!</v>
      </c>
      <c r="FG64" t="e">
        <f>AND(#REF!,"AAAAAHveu6I=")</f>
        <v>#REF!</v>
      </c>
      <c r="FH64" t="e">
        <f>AND(#REF!,"AAAAAHveu6M=")</f>
        <v>#REF!</v>
      </c>
      <c r="FI64" t="e">
        <f>AND(#REF!,"AAAAAHveu6Q=")</f>
        <v>#REF!</v>
      </c>
      <c r="FJ64" t="e">
        <f>AND(#REF!,"AAAAAHveu6U=")</f>
        <v>#REF!</v>
      </c>
      <c r="FK64" t="e">
        <f>AND(#REF!,"AAAAAHveu6Y=")</f>
        <v>#REF!</v>
      </c>
      <c r="FL64" t="e">
        <f>AND(#REF!,"AAAAAHveu6c=")</f>
        <v>#REF!</v>
      </c>
      <c r="FM64" t="e">
        <f>AND(#REF!,"AAAAAHveu6g=")</f>
        <v>#REF!</v>
      </c>
      <c r="FN64" t="e">
        <f>AND(#REF!,"AAAAAHveu6k=")</f>
        <v>#REF!</v>
      </c>
      <c r="FO64" t="e">
        <f>AND(#REF!,"AAAAAHveu6o=")</f>
        <v>#REF!</v>
      </c>
      <c r="FP64" t="e">
        <f>AND(#REF!,"AAAAAHveu6s=")</f>
        <v>#REF!</v>
      </c>
      <c r="FQ64" t="e">
        <f>AND(#REF!,"AAAAAHveu6w=")</f>
        <v>#REF!</v>
      </c>
      <c r="FR64" t="e">
        <f>AND(#REF!,"AAAAAHveu60=")</f>
        <v>#REF!</v>
      </c>
      <c r="FS64" t="e">
        <f>AND(#REF!,"AAAAAHveu64=")</f>
        <v>#REF!</v>
      </c>
      <c r="FT64" t="e">
        <f>AND(#REF!,"AAAAAHveu68=")</f>
        <v>#REF!</v>
      </c>
      <c r="FU64" t="e">
        <f>AND(#REF!,"AAAAAHveu7A=")</f>
        <v>#REF!</v>
      </c>
      <c r="FV64" t="e">
        <f>AND(#REF!,"AAAAAHveu7E=")</f>
        <v>#REF!</v>
      </c>
      <c r="FW64" t="e">
        <f>AND(#REF!,"AAAAAHveu7I=")</f>
        <v>#REF!</v>
      </c>
      <c r="FX64" t="e">
        <f>AND(#REF!,"AAAAAHveu7M=")</f>
        <v>#REF!</v>
      </c>
      <c r="FY64" t="e">
        <f>AND(#REF!,"AAAAAHveu7Q=")</f>
        <v>#REF!</v>
      </c>
      <c r="FZ64" t="e">
        <f>AND(#REF!,"AAAAAHveu7U=")</f>
        <v>#REF!</v>
      </c>
      <c r="GA64" t="e">
        <f>AND(#REF!,"AAAAAHveu7Y=")</f>
        <v>#REF!</v>
      </c>
      <c r="GB64" t="e">
        <f>AND(#REF!,"AAAAAHveu7c=")</f>
        <v>#REF!</v>
      </c>
      <c r="GC64" t="e">
        <f>AND(#REF!,"AAAAAHveu7g=")</f>
        <v>#REF!</v>
      </c>
      <c r="GD64" t="e">
        <f>AND(#REF!,"AAAAAHveu7k=")</f>
        <v>#REF!</v>
      </c>
      <c r="GE64" t="e">
        <f>IF(#REF!,"AAAAAHveu7o=",0)</f>
        <v>#REF!</v>
      </c>
      <c r="GF64" t="e">
        <f>AND(#REF!,"AAAAAHveu7s=")</f>
        <v>#REF!</v>
      </c>
      <c r="GG64" t="e">
        <f>AND(#REF!,"AAAAAHveu7w=")</f>
        <v>#REF!</v>
      </c>
      <c r="GH64" t="e">
        <f>AND(#REF!,"AAAAAHveu70=")</f>
        <v>#REF!</v>
      </c>
      <c r="GI64" t="e">
        <f>AND(#REF!,"AAAAAHveu74=")</f>
        <v>#REF!</v>
      </c>
      <c r="GJ64" t="e">
        <f>AND(#REF!,"AAAAAHveu78=")</f>
        <v>#REF!</v>
      </c>
      <c r="GK64" t="e">
        <f>AND(#REF!,"AAAAAHveu8A=")</f>
        <v>#REF!</v>
      </c>
      <c r="GL64" t="e">
        <f>AND(#REF!,"AAAAAHveu8E=")</f>
        <v>#REF!</v>
      </c>
      <c r="GM64" t="e">
        <f>AND(#REF!,"AAAAAHveu8I=")</f>
        <v>#REF!</v>
      </c>
      <c r="GN64" t="e">
        <f>AND(#REF!,"AAAAAHveu8M=")</f>
        <v>#REF!</v>
      </c>
      <c r="GO64" t="e">
        <f>AND(#REF!,"AAAAAHveu8Q=")</f>
        <v>#REF!</v>
      </c>
      <c r="GP64" t="e">
        <f>AND(#REF!,"AAAAAHveu8U=")</f>
        <v>#REF!</v>
      </c>
      <c r="GQ64" t="e">
        <f>AND(#REF!,"AAAAAHveu8Y=")</f>
        <v>#REF!</v>
      </c>
      <c r="GR64" t="e">
        <f>AND(#REF!,"AAAAAHveu8c=")</f>
        <v>#REF!</v>
      </c>
      <c r="GS64" t="e">
        <f>AND(#REF!,"AAAAAHveu8g=")</f>
        <v>#REF!</v>
      </c>
      <c r="GT64" t="e">
        <f>AND(#REF!,"AAAAAHveu8k=")</f>
        <v>#REF!</v>
      </c>
      <c r="GU64" t="e">
        <f>AND(#REF!,"AAAAAHveu8o=")</f>
        <v>#REF!</v>
      </c>
      <c r="GV64" t="e">
        <f>AND(#REF!,"AAAAAHveu8s=")</f>
        <v>#REF!</v>
      </c>
      <c r="GW64" t="e">
        <f>AND(#REF!,"AAAAAHveu8w=")</f>
        <v>#REF!</v>
      </c>
      <c r="GX64" t="e">
        <f>AND(#REF!,"AAAAAHveu80=")</f>
        <v>#REF!</v>
      </c>
      <c r="GY64" t="e">
        <f>AND(#REF!,"AAAAAHveu84=")</f>
        <v>#REF!</v>
      </c>
      <c r="GZ64" t="e">
        <f>AND(#REF!,"AAAAAHveu88=")</f>
        <v>#REF!</v>
      </c>
      <c r="HA64" t="e">
        <f>AND(#REF!,"AAAAAHveu9A=")</f>
        <v>#REF!</v>
      </c>
      <c r="HB64" t="e">
        <f>AND(#REF!,"AAAAAHveu9E=")</f>
        <v>#REF!</v>
      </c>
      <c r="HC64" t="e">
        <f>AND(#REF!,"AAAAAHveu9I=")</f>
        <v>#REF!</v>
      </c>
      <c r="HD64" t="e">
        <f>AND(#REF!,"AAAAAHveu9M=")</f>
        <v>#REF!</v>
      </c>
      <c r="HE64" t="e">
        <f>AND(#REF!,"AAAAAHveu9Q=")</f>
        <v>#REF!</v>
      </c>
      <c r="HF64" t="e">
        <f>AND(#REF!,"AAAAAHveu9U=")</f>
        <v>#REF!</v>
      </c>
      <c r="HG64" t="e">
        <f>AND(#REF!,"AAAAAHveu9Y=")</f>
        <v>#REF!</v>
      </c>
      <c r="HH64" t="e">
        <f>AND(#REF!,"AAAAAHveu9c=")</f>
        <v>#REF!</v>
      </c>
      <c r="HI64" t="e">
        <f>AND(#REF!,"AAAAAHveu9g=")</f>
        <v>#REF!</v>
      </c>
      <c r="HJ64" t="e">
        <f>AND(#REF!,"AAAAAHveu9k=")</f>
        <v>#REF!</v>
      </c>
      <c r="HK64" t="e">
        <f>AND(#REF!,"AAAAAHveu9o=")</f>
        <v>#REF!</v>
      </c>
      <c r="HL64" t="e">
        <f>AND(#REF!,"AAAAAHveu9s=")</f>
        <v>#REF!</v>
      </c>
      <c r="HM64" t="e">
        <f>AND(#REF!,"AAAAAHveu9w=")</f>
        <v>#REF!</v>
      </c>
      <c r="HN64" t="e">
        <f>AND(#REF!,"AAAAAHveu90=")</f>
        <v>#REF!</v>
      </c>
      <c r="HO64" t="e">
        <f>AND(#REF!,"AAAAAHveu94=")</f>
        <v>#REF!</v>
      </c>
      <c r="HP64" t="e">
        <f>AND(#REF!,"AAAAAHveu98=")</f>
        <v>#REF!</v>
      </c>
      <c r="HQ64" t="e">
        <f>AND(#REF!,"AAAAAHveu+A=")</f>
        <v>#REF!</v>
      </c>
      <c r="HR64" t="e">
        <f>AND(#REF!,"AAAAAHveu+E=")</f>
        <v>#REF!</v>
      </c>
      <c r="HS64" t="e">
        <f>AND(#REF!,"AAAAAHveu+I=")</f>
        <v>#REF!</v>
      </c>
      <c r="HT64" t="e">
        <f>AND(#REF!,"AAAAAHveu+M=")</f>
        <v>#REF!</v>
      </c>
      <c r="HU64" t="e">
        <f>AND(#REF!,"AAAAAHveu+Q=")</f>
        <v>#REF!</v>
      </c>
      <c r="HV64" t="e">
        <f>AND(#REF!,"AAAAAHveu+U=")</f>
        <v>#REF!</v>
      </c>
      <c r="HW64" t="e">
        <f>AND(#REF!,"AAAAAHveu+Y=")</f>
        <v>#REF!</v>
      </c>
      <c r="HX64" t="e">
        <f>AND(#REF!,"AAAAAHveu+c=")</f>
        <v>#REF!</v>
      </c>
      <c r="HY64" t="e">
        <f>AND(#REF!,"AAAAAHveu+g=")</f>
        <v>#REF!</v>
      </c>
      <c r="HZ64" t="e">
        <f>AND(#REF!,"AAAAAHveu+k=")</f>
        <v>#REF!</v>
      </c>
      <c r="IA64" t="e">
        <f>AND(#REF!,"AAAAAHveu+o=")</f>
        <v>#REF!</v>
      </c>
      <c r="IB64" t="e">
        <f>AND(#REF!,"AAAAAHveu+s=")</f>
        <v>#REF!</v>
      </c>
      <c r="IC64" t="e">
        <f>AND(#REF!,"AAAAAHveu+w=")</f>
        <v>#REF!</v>
      </c>
      <c r="ID64" t="e">
        <f>AND(#REF!,"AAAAAHveu+0=")</f>
        <v>#REF!</v>
      </c>
      <c r="IE64" t="e">
        <f>AND(#REF!,"AAAAAHveu+4=")</f>
        <v>#REF!</v>
      </c>
      <c r="IF64" t="e">
        <f>AND(#REF!,"AAAAAHveu+8=")</f>
        <v>#REF!</v>
      </c>
      <c r="IG64" t="e">
        <f>AND(#REF!,"AAAAAHveu/A=")</f>
        <v>#REF!</v>
      </c>
      <c r="IH64" t="e">
        <f>IF(#REF!,"AAAAAHveu/E=",0)</f>
        <v>#REF!</v>
      </c>
      <c r="II64" t="e">
        <f>AND(#REF!,"AAAAAHveu/I=")</f>
        <v>#REF!</v>
      </c>
      <c r="IJ64" t="e">
        <f>AND(#REF!,"AAAAAHveu/M=")</f>
        <v>#REF!</v>
      </c>
      <c r="IK64" t="e">
        <f>AND(#REF!,"AAAAAHveu/Q=")</f>
        <v>#REF!</v>
      </c>
      <c r="IL64" t="e">
        <f>AND(#REF!,"AAAAAHveu/U=")</f>
        <v>#REF!</v>
      </c>
      <c r="IM64" t="e">
        <f>AND(#REF!,"AAAAAHveu/Y=")</f>
        <v>#REF!</v>
      </c>
      <c r="IN64" t="e">
        <f>AND(#REF!,"AAAAAHveu/c=")</f>
        <v>#REF!</v>
      </c>
      <c r="IO64" t="e">
        <f>AND(#REF!,"AAAAAHveu/g=")</f>
        <v>#REF!</v>
      </c>
      <c r="IP64" t="e">
        <f>AND(#REF!,"AAAAAHveu/k=")</f>
        <v>#REF!</v>
      </c>
      <c r="IQ64" t="e">
        <f>AND(#REF!,"AAAAAHveu/o=")</f>
        <v>#REF!</v>
      </c>
      <c r="IR64" t="e">
        <f>AND(#REF!,"AAAAAHveu/s=")</f>
        <v>#REF!</v>
      </c>
      <c r="IS64" t="e">
        <f>AND(#REF!,"AAAAAHveu/w=")</f>
        <v>#REF!</v>
      </c>
      <c r="IT64" t="e">
        <f>AND(#REF!,"AAAAAHveu/0=")</f>
        <v>#REF!</v>
      </c>
      <c r="IU64" t="e">
        <f>AND(#REF!,"AAAAAHveu/4=")</f>
        <v>#REF!</v>
      </c>
      <c r="IV64" t="e">
        <f>AND(#REF!,"AAAAAHveu/8=")</f>
        <v>#REF!</v>
      </c>
    </row>
    <row r="65" spans="1:256" x14ac:dyDescent="0.25">
      <c r="A65" t="e">
        <f>AND(#REF!,"AAAAAG7u/wA=")</f>
        <v>#REF!</v>
      </c>
      <c r="B65" t="e">
        <f>AND(#REF!,"AAAAAG7u/wE=")</f>
        <v>#REF!</v>
      </c>
      <c r="C65" t="e">
        <f>AND(#REF!,"AAAAAG7u/wI=")</f>
        <v>#REF!</v>
      </c>
      <c r="D65" t="e">
        <f>AND(#REF!,"AAAAAG7u/wM=")</f>
        <v>#REF!</v>
      </c>
      <c r="E65" t="e">
        <f>AND(#REF!,"AAAAAG7u/wQ=")</f>
        <v>#REF!</v>
      </c>
      <c r="F65" t="e">
        <f>AND(#REF!,"AAAAAG7u/wU=")</f>
        <v>#REF!</v>
      </c>
      <c r="G65" t="e">
        <f>AND(#REF!,"AAAAAG7u/wY=")</f>
        <v>#REF!</v>
      </c>
      <c r="H65" t="e">
        <f>AND(#REF!,"AAAAAG7u/wc=")</f>
        <v>#REF!</v>
      </c>
      <c r="I65" t="e">
        <f>AND(#REF!,"AAAAAG7u/wg=")</f>
        <v>#REF!</v>
      </c>
      <c r="J65" t="e">
        <f>AND(#REF!,"AAAAAG7u/wk=")</f>
        <v>#REF!</v>
      </c>
      <c r="K65" t="e">
        <f>AND(#REF!,"AAAAAG7u/wo=")</f>
        <v>#REF!</v>
      </c>
      <c r="L65" t="e">
        <f>AND(#REF!,"AAAAAG7u/ws=")</f>
        <v>#REF!</v>
      </c>
      <c r="M65" t="e">
        <f>AND(#REF!,"AAAAAG7u/ww=")</f>
        <v>#REF!</v>
      </c>
      <c r="N65" t="e">
        <f>AND(#REF!,"AAAAAG7u/w0=")</f>
        <v>#REF!</v>
      </c>
      <c r="O65" t="e">
        <f>AND(#REF!,"AAAAAG7u/w4=")</f>
        <v>#REF!</v>
      </c>
      <c r="P65" t="e">
        <f>AND(#REF!,"AAAAAG7u/w8=")</f>
        <v>#REF!</v>
      </c>
      <c r="Q65" t="e">
        <f>AND(#REF!,"AAAAAG7u/xA=")</f>
        <v>#REF!</v>
      </c>
      <c r="R65" t="e">
        <f>AND(#REF!,"AAAAAG7u/xE=")</f>
        <v>#REF!</v>
      </c>
      <c r="S65" t="e">
        <f>AND(#REF!,"AAAAAG7u/xI=")</f>
        <v>#REF!</v>
      </c>
      <c r="T65" t="e">
        <f>AND(#REF!,"AAAAAG7u/xM=")</f>
        <v>#REF!</v>
      </c>
      <c r="U65" t="e">
        <f>AND(#REF!,"AAAAAG7u/xQ=")</f>
        <v>#REF!</v>
      </c>
      <c r="V65" t="e">
        <f>AND(#REF!,"AAAAAG7u/xU=")</f>
        <v>#REF!</v>
      </c>
      <c r="W65" t="e">
        <f>AND(#REF!,"AAAAAG7u/xY=")</f>
        <v>#REF!</v>
      </c>
      <c r="X65" t="e">
        <f>AND(#REF!,"AAAAAG7u/xc=")</f>
        <v>#REF!</v>
      </c>
      <c r="Y65" t="e">
        <f>AND(#REF!,"AAAAAG7u/xg=")</f>
        <v>#REF!</v>
      </c>
      <c r="Z65" t="e">
        <f>AND(#REF!,"AAAAAG7u/xk=")</f>
        <v>#REF!</v>
      </c>
      <c r="AA65" t="e">
        <f>AND(#REF!,"AAAAAG7u/xo=")</f>
        <v>#REF!</v>
      </c>
      <c r="AB65" t="e">
        <f>AND(#REF!,"AAAAAG7u/xs=")</f>
        <v>#REF!</v>
      </c>
      <c r="AC65" t="e">
        <f>AND(#REF!,"AAAAAG7u/xw=")</f>
        <v>#REF!</v>
      </c>
      <c r="AD65" t="e">
        <f>AND(#REF!,"AAAAAG7u/x0=")</f>
        <v>#REF!</v>
      </c>
      <c r="AE65" t="e">
        <f>AND(#REF!,"AAAAAG7u/x4=")</f>
        <v>#REF!</v>
      </c>
      <c r="AF65" t="e">
        <f>AND(#REF!,"AAAAAG7u/x8=")</f>
        <v>#REF!</v>
      </c>
      <c r="AG65" t="e">
        <f>AND(#REF!,"AAAAAG7u/yA=")</f>
        <v>#REF!</v>
      </c>
      <c r="AH65" t="e">
        <f>AND(#REF!,"AAAAAG7u/yE=")</f>
        <v>#REF!</v>
      </c>
      <c r="AI65" t="e">
        <f>AND(#REF!,"AAAAAG7u/yI=")</f>
        <v>#REF!</v>
      </c>
      <c r="AJ65" t="e">
        <f>AND(#REF!,"AAAAAG7u/yM=")</f>
        <v>#REF!</v>
      </c>
      <c r="AK65" t="e">
        <f>AND(#REF!,"AAAAAG7u/yQ=")</f>
        <v>#REF!</v>
      </c>
      <c r="AL65" t="e">
        <f>AND(#REF!,"AAAAAG7u/yU=")</f>
        <v>#REF!</v>
      </c>
      <c r="AM65" t="e">
        <f>AND(#REF!,"AAAAAG7u/yY=")</f>
        <v>#REF!</v>
      </c>
      <c r="AN65" t="e">
        <f>AND(#REF!,"AAAAAG7u/yc=")</f>
        <v>#REF!</v>
      </c>
      <c r="AO65" t="e">
        <f>IF(#REF!,"AAAAAG7u/yg=",0)</f>
        <v>#REF!</v>
      </c>
      <c r="AP65" t="e">
        <f>AND(#REF!,"AAAAAG7u/yk=")</f>
        <v>#REF!</v>
      </c>
      <c r="AQ65" t="e">
        <f>AND(#REF!,"AAAAAG7u/yo=")</f>
        <v>#REF!</v>
      </c>
      <c r="AR65" t="e">
        <f>AND(#REF!,"AAAAAG7u/ys=")</f>
        <v>#REF!</v>
      </c>
      <c r="AS65" t="e">
        <f>AND(#REF!,"AAAAAG7u/yw=")</f>
        <v>#REF!</v>
      </c>
      <c r="AT65" t="e">
        <f>AND(#REF!,"AAAAAG7u/y0=")</f>
        <v>#REF!</v>
      </c>
      <c r="AU65" t="e">
        <f>AND(#REF!,"AAAAAG7u/y4=")</f>
        <v>#REF!</v>
      </c>
      <c r="AV65" t="e">
        <f>AND(#REF!,"AAAAAG7u/y8=")</f>
        <v>#REF!</v>
      </c>
      <c r="AW65" t="e">
        <f>AND(#REF!,"AAAAAG7u/zA=")</f>
        <v>#REF!</v>
      </c>
      <c r="AX65" t="e">
        <f>AND(#REF!,"AAAAAG7u/zE=")</f>
        <v>#REF!</v>
      </c>
      <c r="AY65" t="e">
        <f>AND(#REF!,"AAAAAG7u/zI=")</f>
        <v>#REF!</v>
      </c>
      <c r="AZ65" t="e">
        <f>AND(#REF!,"AAAAAG7u/zM=")</f>
        <v>#REF!</v>
      </c>
      <c r="BA65" t="e">
        <f>AND(#REF!,"AAAAAG7u/zQ=")</f>
        <v>#REF!</v>
      </c>
      <c r="BB65" t="e">
        <f>AND(#REF!,"AAAAAG7u/zU=")</f>
        <v>#REF!</v>
      </c>
      <c r="BC65" t="e">
        <f>AND(#REF!,"AAAAAG7u/zY=")</f>
        <v>#REF!</v>
      </c>
      <c r="BD65" t="e">
        <f>AND(#REF!,"AAAAAG7u/zc=")</f>
        <v>#REF!</v>
      </c>
      <c r="BE65" t="e">
        <f>AND(#REF!,"AAAAAG7u/zg=")</f>
        <v>#REF!</v>
      </c>
      <c r="BF65" t="e">
        <f>AND(#REF!,"AAAAAG7u/zk=")</f>
        <v>#REF!</v>
      </c>
      <c r="BG65" t="e">
        <f>AND(#REF!,"AAAAAG7u/zo=")</f>
        <v>#REF!</v>
      </c>
      <c r="BH65" t="e">
        <f>AND(#REF!,"AAAAAG7u/zs=")</f>
        <v>#REF!</v>
      </c>
      <c r="BI65" t="e">
        <f>AND(#REF!,"AAAAAG7u/zw=")</f>
        <v>#REF!</v>
      </c>
      <c r="BJ65" t="e">
        <f>AND(#REF!,"AAAAAG7u/z0=")</f>
        <v>#REF!</v>
      </c>
      <c r="BK65" t="e">
        <f>AND(#REF!,"AAAAAG7u/z4=")</f>
        <v>#REF!</v>
      </c>
      <c r="BL65" t="e">
        <f>AND(#REF!,"AAAAAG7u/z8=")</f>
        <v>#REF!</v>
      </c>
      <c r="BM65" t="e">
        <f>AND(#REF!,"AAAAAG7u/0A=")</f>
        <v>#REF!</v>
      </c>
      <c r="BN65" t="e">
        <f>AND(#REF!,"AAAAAG7u/0E=")</f>
        <v>#REF!</v>
      </c>
      <c r="BO65" t="e">
        <f>AND(#REF!,"AAAAAG7u/0I=")</f>
        <v>#REF!</v>
      </c>
      <c r="BP65" t="e">
        <f>AND(#REF!,"AAAAAG7u/0M=")</f>
        <v>#REF!</v>
      </c>
      <c r="BQ65" t="e">
        <f>AND(#REF!,"AAAAAG7u/0Q=")</f>
        <v>#REF!</v>
      </c>
      <c r="BR65" t="e">
        <f>AND(#REF!,"AAAAAG7u/0U=")</f>
        <v>#REF!</v>
      </c>
      <c r="BS65" t="e">
        <f>AND(#REF!,"AAAAAG7u/0Y=")</f>
        <v>#REF!</v>
      </c>
      <c r="BT65" t="e">
        <f>AND(#REF!,"AAAAAG7u/0c=")</f>
        <v>#REF!</v>
      </c>
      <c r="BU65" t="e">
        <f>AND(#REF!,"AAAAAG7u/0g=")</f>
        <v>#REF!</v>
      </c>
      <c r="BV65" t="e">
        <f>AND(#REF!,"AAAAAG7u/0k=")</f>
        <v>#REF!</v>
      </c>
      <c r="BW65" t="e">
        <f>AND(#REF!,"AAAAAG7u/0o=")</f>
        <v>#REF!</v>
      </c>
      <c r="BX65" t="e">
        <f>AND(#REF!,"AAAAAG7u/0s=")</f>
        <v>#REF!</v>
      </c>
      <c r="BY65" t="e">
        <f>AND(#REF!,"AAAAAG7u/0w=")</f>
        <v>#REF!</v>
      </c>
      <c r="BZ65" t="e">
        <f>AND(#REF!,"AAAAAG7u/00=")</f>
        <v>#REF!</v>
      </c>
      <c r="CA65" t="e">
        <f>AND(#REF!,"AAAAAG7u/04=")</f>
        <v>#REF!</v>
      </c>
      <c r="CB65" t="e">
        <f>AND(#REF!,"AAAAAG7u/08=")</f>
        <v>#REF!</v>
      </c>
      <c r="CC65" t="e">
        <f>AND(#REF!,"AAAAAG7u/1A=")</f>
        <v>#REF!</v>
      </c>
      <c r="CD65" t="e">
        <f>AND(#REF!,"AAAAAG7u/1E=")</f>
        <v>#REF!</v>
      </c>
      <c r="CE65" t="e">
        <f>AND(#REF!,"AAAAAG7u/1I=")</f>
        <v>#REF!</v>
      </c>
      <c r="CF65" t="e">
        <f>AND(#REF!,"AAAAAG7u/1M=")</f>
        <v>#REF!</v>
      </c>
      <c r="CG65" t="e">
        <f>AND(#REF!,"AAAAAG7u/1Q=")</f>
        <v>#REF!</v>
      </c>
      <c r="CH65" t="e">
        <f>AND(#REF!,"AAAAAG7u/1U=")</f>
        <v>#REF!</v>
      </c>
      <c r="CI65" t="e">
        <f>AND(#REF!,"AAAAAG7u/1Y=")</f>
        <v>#REF!</v>
      </c>
      <c r="CJ65" t="e">
        <f>AND(#REF!,"AAAAAG7u/1c=")</f>
        <v>#REF!</v>
      </c>
      <c r="CK65" t="e">
        <f>AND(#REF!,"AAAAAG7u/1g=")</f>
        <v>#REF!</v>
      </c>
      <c r="CL65" t="e">
        <f>AND(#REF!,"AAAAAG7u/1k=")</f>
        <v>#REF!</v>
      </c>
      <c r="CM65" t="e">
        <f>AND(#REF!,"AAAAAG7u/1o=")</f>
        <v>#REF!</v>
      </c>
      <c r="CN65" t="e">
        <f>AND(#REF!,"AAAAAG7u/1s=")</f>
        <v>#REF!</v>
      </c>
      <c r="CO65" t="e">
        <f>AND(#REF!,"AAAAAG7u/1w=")</f>
        <v>#REF!</v>
      </c>
      <c r="CP65" t="e">
        <f>AND(#REF!,"AAAAAG7u/10=")</f>
        <v>#REF!</v>
      </c>
      <c r="CQ65" t="e">
        <f>AND(#REF!,"AAAAAG7u/14=")</f>
        <v>#REF!</v>
      </c>
      <c r="CR65" t="e">
        <f>IF(#REF!,"AAAAAG7u/18=",0)</f>
        <v>#REF!</v>
      </c>
      <c r="CS65" t="e">
        <f>AND(#REF!,"AAAAAG7u/2A=")</f>
        <v>#REF!</v>
      </c>
      <c r="CT65" t="e">
        <f>AND(#REF!,"AAAAAG7u/2E=")</f>
        <v>#REF!</v>
      </c>
      <c r="CU65" t="e">
        <f>AND(#REF!,"AAAAAG7u/2I=")</f>
        <v>#REF!</v>
      </c>
      <c r="CV65" t="e">
        <f>AND(#REF!,"AAAAAG7u/2M=")</f>
        <v>#REF!</v>
      </c>
      <c r="CW65" t="e">
        <f>AND(#REF!,"AAAAAG7u/2Q=")</f>
        <v>#REF!</v>
      </c>
      <c r="CX65" t="e">
        <f>AND(#REF!,"AAAAAG7u/2U=")</f>
        <v>#REF!</v>
      </c>
      <c r="CY65" t="e">
        <f>AND(#REF!,"AAAAAG7u/2Y=")</f>
        <v>#REF!</v>
      </c>
      <c r="CZ65" t="e">
        <f>AND(#REF!,"AAAAAG7u/2c=")</f>
        <v>#REF!</v>
      </c>
      <c r="DA65" t="e">
        <f>AND(#REF!,"AAAAAG7u/2g=")</f>
        <v>#REF!</v>
      </c>
      <c r="DB65" t="e">
        <f>AND(#REF!,"AAAAAG7u/2k=")</f>
        <v>#REF!</v>
      </c>
      <c r="DC65" t="e">
        <f>AND(#REF!,"AAAAAG7u/2o=")</f>
        <v>#REF!</v>
      </c>
      <c r="DD65" t="e">
        <f>AND(#REF!,"AAAAAG7u/2s=")</f>
        <v>#REF!</v>
      </c>
      <c r="DE65" t="e">
        <f>AND(#REF!,"AAAAAG7u/2w=")</f>
        <v>#REF!</v>
      </c>
      <c r="DF65" t="e">
        <f>AND(#REF!,"AAAAAG7u/20=")</f>
        <v>#REF!</v>
      </c>
      <c r="DG65" t="e">
        <f>AND(#REF!,"AAAAAG7u/24=")</f>
        <v>#REF!</v>
      </c>
      <c r="DH65" t="e">
        <f>AND(#REF!,"AAAAAG7u/28=")</f>
        <v>#REF!</v>
      </c>
      <c r="DI65" t="e">
        <f>AND(#REF!,"AAAAAG7u/3A=")</f>
        <v>#REF!</v>
      </c>
      <c r="DJ65" t="e">
        <f>AND(#REF!,"AAAAAG7u/3E=")</f>
        <v>#REF!</v>
      </c>
      <c r="DK65" t="e">
        <f>AND(#REF!,"AAAAAG7u/3I=")</f>
        <v>#REF!</v>
      </c>
      <c r="DL65" t="e">
        <f>AND(#REF!,"AAAAAG7u/3M=")</f>
        <v>#REF!</v>
      </c>
      <c r="DM65" t="e">
        <f>AND(#REF!,"AAAAAG7u/3Q=")</f>
        <v>#REF!</v>
      </c>
      <c r="DN65" t="e">
        <f>AND(#REF!,"AAAAAG7u/3U=")</f>
        <v>#REF!</v>
      </c>
      <c r="DO65" t="e">
        <f>AND(#REF!,"AAAAAG7u/3Y=")</f>
        <v>#REF!</v>
      </c>
      <c r="DP65" t="e">
        <f>AND(#REF!,"AAAAAG7u/3c=")</f>
        <v>#REF!</v>
      </c>
      <c r="DQ65" t="e">
        <f>AND(#REF!,"AAAAAG7u/3g=")</f>
        <v>#REF!</v>
      </c>
      <c r="DR65" t="e">
        <f>AND(#REF!,"AAAAAG7u/3k=")</f>
        <v>#REF!</v>
      </c>
      <c r="DS65" t="e">
        <f>AND(#REF!,"AAAAAG7u/3o=")</f>
        <v>#REF!</v>
      </c>
      <c r="DT65" t="e">
        <f>AND(#REF!,"AAAAAG7u/3s=")</f>
        <v>#REF!</v>
      </c>
      <c r="DU65" t="e">
        <f>AND(#REF!,"AAAAAG7u/3w=")</f>
        <v>#REF!</v>
      </c>
      <c r="DV65" t="e">
        <f>AND(#REF!,"AAAAAG7u/30=")</f>
        <v>#REF!</v>
      </c>
      <c r="DW65" t="e">
        <f>AND(#REF!,"AAAAAG7u/34=")</f>
        <v>#REF!</v>
      </c>
      <c r="DX65" t="e">
        <f>AND(#REF!,"AAAAAG7u/38=")</f>
        <v>#REF!</v>
      </c>
      <c r="DY65" t="e">
        <f>AND(#REF!,"AAAAAG7u/4A=")</f>
        <v>#REF!</v>
      </c>
      <c r="DZ65" t="e">
        <f>AND(#REF!,"AAAAAG7u/4E=")</f>
        <v>#REF!</v>
      </c>
      <c r="EA65" t="e">
        <f>AND(#REF!,"AAAAAG7u/4I=")</f>
        <v>#REF!</v>
      </c>
      <c r="EB65" t="e">
        <f>AND(#REF!,"AAAAAG7u/4M=")</f>
        <v>#REF!</v>
      </c>
      <c r="EC65" t="e">
        <f>AND(#REF!,"AAAAAG7u/4Q=")</f>
        <v>#REF!</v>
      </c>
      <c r="ED65" t="e">
        <f>AND(#REF!,"AAAAAG7u/4U=")</f>
        <v>#REF!</v>
      </c>
      <c r="EE65" t="e">
        <f>AND(#REF!,"AAAAAG7u/4Y=")</f>
        <v>#REF!</v>
      </c>
      <c r="EF65" t="e">
        <f>AND(#REF!,"AAAAAG7u/4c=")</f>
        <v>#REF!</v>
      </c>
      <c r="EG65" t="e">
        <f>AND(#REF!,"AAAAAG7u/4g=")</f>
        <v>#REF!</v>
      </c>
      <c r="EH65" t="e">
        <f>AND(#REF!,"AAAAAG7u/4k=")</f>
        <v>#REF!</v>
      </c>
      <c r="EI65" t="e">
        <f>AND(#REF!,"AAAAAG7u/4o=")</f>
        <v>#REF!</v>
      </c>
      <c r="EJ65" t="e">
        <f>AND(#REF!,"AAAAAG7u/4s=")</f>
        <v>#REF!</v>
      </c>
      <c r="EK65" t="e">
        <f>AND(#REF!,"AAAAAG7u/4w=")</f>
        <v>#REF!</v>
      </c>
      <c r="EL65" t="e">
        <f>AND(#REF!,"AAAAAG7u/40=")</f>
        <v>#REF!</v>
      </c>
      <c r="EM65" t="e">
        <f>AND(#REF!,"AAAAAG7u/44=")</f>
        <v>#REF!</v>
      </c>
      <c r="EN65" t="e">
        <f>AND(#REF!,"AAAAAG7u/48=")</f>
        <v>#REF!</v>
      </c>
      <c r="EO65" t="e">
        <f>AND(#REF!,"AAAAAG7u/5A=")</f>
        <v>#REF!</v>
      </c>
      <c r="EP65" t="e">
        <f>AND(#REF!,"AAAAAG7u/5E=")</f>
        <v>#REF!</v>
      </c>
      <c r="EQ65" t="e">
        <f>AND(#REF!,"AAAAAG7u/5I=")</f>
        <v>#REF!</v>
      </c>
      <c r="ER65" t="e">
        <f>AND(#REF!,"AAAAAG7u/5M=")</f>
        <v>#REF!</v>
      </c>
      <c r="ES65" t="e">
        <f>AND(#REF!,"AAAAAG7u/5Q=")</f>
        <v>#REF!</v>
      </c>
      <c r="ET65" t="e">
        <f>AND(#REF!,"AAAAAG7u/5U=")</f>
        <v>#REF!</v>
      </c>
      <c r="EU65" t="e">
        <f>IF(#REF!,"AAAAAG7u/5Y=",0)</f>
        <v>#REF!</v>
      </c>
      <c r="EV65" t="e">
        <f>AND(#REF!,"AAAAAG7u/5c=")</f>
        <v>#REF!</v>
      </c>
      <c r="EW65" t="e">
        <f>AND(#REF!,"AAAAAG7u/5g=")</f>
        <v>#REF!</v>
      </c>
      <c r="EX65" t="e">
        <f>AND(#REF!,"AAAAAG7u/5k=")</f>
        <v>#REF!</v>
      </c>
      <c r="EY65" t="e">
        <f>AND(#REF!,"AAAAAG7u/5o=")</f>
        <v>#REF!</v>
      </c>
      <c r="EZ65" t="e">
        <f>AND(#REF!,"AAAAAG7u/5s=")</f>
        <v>#REF!</v>
      </c>
      <c r="FA65" t="e">
        <f>AND(#REF!,"AAAAAG7u/5w=")</f>
        <v>#REF!</v>
      </c>
      <c r="FB65" t="e">
        <f>AND(#REF!,"AAAAAG7u/50=")</f>
        <v>#REF!</v>
      </c>
      <c r="FC65" t="e">
        <f>AND(#REF!,"AAAAAG7u/54=")</f>
        <v>#REF!</v>
      </c>
      <c r="FD65" t="e">
        <f>AND(#REF!,"AAAAAG7u/58=")</f>
        <v>#REF!</v>
      </c>
      <c r="FE65" t="e">
        <f>AND(#REF!,"AAAAAG7u/6A=")</f>
        <v>#REF!</v>
      </c>
      <c r="FF65" t="e">
        <f>AND(#REF!,"AAAAAG7u/6E=")</f>
        <v>#REF!</v>
      </c>
      <c r="FG65" t="e">
        <f>AND(#REF!,"AAAAAG7u/6I=")</f>
        <v>#REF!</v>
      </c>
      <c r="FH65" t="e">
        <f>AND(#REF!,"AAAAAG7u/6M=")</f>
        <v>#REF!</v>
      </c>
      <c r="FI65" t="e">
        <f>AND(#REF!,"AAAAAG7u/6Q=")</f>
        <v>#REF!</v>
      </c>
      <c r="FJ65" t="e">
        <f>AND(#REF!,"AAAAAG7u/6U=")</f>
        <v>#REF!</v>
      </c>
      <c r="FK65" t="e">
        <f>AND(#REF!,"AAAAAG7u/6Y=")</f>
        <v>#REF!</v>
      </c>
      <c r="FL65" t="e">
        <f>AND(#REF!,"AAAAAG7u/6c=")</f>
        <v>#REF!</v>
      </c>
      <c r="FM65" t="e">
        <f>AND(#REF!,"AAAAAG7u/6g=")</f>
        <v>#REF!</v>
      </c>
      <c r="FN65" t="e">
        <f>AND(#REF!,"AAAAAG7u/6k=")</f>
        <v>#REF!</v>
      </c>
      <c r="FO65" t="e">
        <f>AND(#REF!,"AAAAAG7u/6o=")</f>
        <v>#REF!</v>
      </c>
      <c r="FP65" t="e">
        <f>AND(#REF!,"AAAAAG7u/6s=")</f>
        <v>#REF!</v>
      </c>
      <c r="FQ65" t="e">
        <f>AND(#REF!,"AAAAAG7u/6w=")</f>
        <v>#REF!</v>
      </c>
      <c r="FR65" t="e">
        <f>AND(#REF!,"AAAAAG7u/60=")</f>
        <v>#REF!</v>
      </c>
      <c r="FS65" t="e">
        <f>AND(#REF!,"AAAAAG7u/64=")</f>
        <v>#REF!</v>
      </c>
      <c r="FT65" t="e">
        <f>AND(#REF!,"AAAAAG7u/68=")</f>
        <v>#REF!</v>
      </c>
      <c r="FU65" t="e">
        <f>AND(#REF!,"AAAAAG7u/7A=")</f>
        <v>#REF!</v>
      </c>
      <c r="FV65" t="e">
        <f>AND(#REF!,"AAAAAG7u/7E=")</f>
        <v>#REF!</v>
      </c>
      <c r="FW65" t="e">
        <f>AND(#REF!,"AAAAAG7u/7I=")</f>
        <v>#REF!</v>
      </c>
      <c r="FX65" t="e">
        <f>AND(#REF!,"AAAAAG7u/7M=")</f>
        <v>#REF!</v>
      </c>
      <c r="FY65" t="e">
        <f>AND(#REF!,"AAAAAG7u/7Q=")</f>
        <v>#REF!</v>
      </c>
      <c r="FZ65" t="e">
        <f>AND(#REF!,"AAAAAG7u/7U=")</f>
        <v>#REF!</v>
      </c>
      <c r="GA65" t="e">
        <f>AND(#REF!,"AAAAAG7u/7Y=")</f>
        <v>#REF!</v>
      </c>
      <c r="GB65" t="e">
        <f>AND(#REF!,"AAAAAG7u/7c=")</f>
        <v>#REF!</v>
      </c>
      <c r="GC65" t="e">
        <f>AND(#REF!,"AAAAAG7u/7g=")</f>
        <v>#REF!</v>
      </c>
      <c r="GD65" t="e">
        <f>AND(#REF!,"AAAAAG7u/7k=")</f>
        <v>#REF!</v>
      </c>
      <c r="GE65" t="e">
        <f>AND(#REF!,"AAAAAG7u/7o=")</f>
        <v>#REF!</v>
      </c>
      <c r="GF65" t="e">
        <f>AND(#REF!,"AAAAAG7u/7s=")</f>
        <v>#REF!</v>
      </c>
      <c r="GG65" t="e">
        <f>AND(#REF!,"AAAAAG7u/7w=")</f>
        <v>#REF!</v>
      </c>
      <c r="GH65" t="e">
        <f>AND(#REF!,"AAAAAG7u/70=")</f>
        <v>#REF!</v>
      </c>
      <c r="GI65" t="e">
        <f>AND(#REF!,"AAAAAG7u/74=")</f>
        <v>#REF!</v>
      </c>
      <c r="GJ65" t="e">
        <f>AND(#REF!,"AAAAAG7u/78=")</f>
        <v>#REF!</v>
      </c>
      <c r="GK65" t="e">
        <f>AND(#REF!,"AAAAAG7u/8A=")</f>
        <v>#REF!</v>
      </c>
      <c r="GL65" t="e">
        <f>AND(#REF!,"AAAAAG7u/8E=")</f>
        <v>#REF!</v>
      </c>
      <c r="GM65" t="e">
        <f>AND(#REF!,"AAAAAG7u/8I=")</f>
        <v>#REF!</v>
      </c>
      <c r="GN65" t="e">
        <f>AND(#REF!,"AAAAAG7u/8M=")</f>
        <v>#REF!</v>
      </c>
      <c r="GO65" t="e">
        <f>AND(#REF!,"AAAAAG7u/8Q=")</f>
        <v>#REF!</v>
      </c>
      <c r="GP65" t="e">
        <f>AND(#REF!,"AAAAAG7u/8U=")</f>
        <v>#REF!</v>
      </c>
      <c r="GQ65" t="e">
        <f>AND(#REF!,"AAAAAG7u/8Y=")</f>
        <v>#REF!</v>
      </c>
      <c r="GR65" t="e">
        <f>AND(#REF!,"AAAAAG7u/8c=")</f>
        <v>#REF!</v>
      </c>
      <c r="GS65" t="e">
        <f>AND(#REF!,"AAAAAG7u/8g=")</f>
        <v>#REF!</v>
      </c>
      <c r="GT65" t="e">
        <f>AND(#REF!,"AAAAAG7u/8k=")</f>
        <v>#REF!</v>
      </c>
      <c r="GU65" t="e">
        <f>AND(#REF!,"AAAAAG7u/8o=")</f>
        <v>#REF!</v>
      </c>
      <c r="GV65" t="e">
        <f>AND(#REF!,"AAAAAG7u/8s=")</f>
        <v>#REF!</v>
      </c>
      <c r="GW65" t="e">
        <f>AND(#REF!,"AAAAAG7u/8w=")</f>
        <v>#REF!</v>
      </c>
      <c r="GX65" t="e">
        <f>IF(#REF!,"AAAAAG7u/80=",0)</f>
        <v>#REF!</v>
      </c>
      <c r="GY65" t="e">
        <f>AND(#REF!,"AAAAAG7u/84=")</f>
        <v>#REF!</v>
      </c>
      <c r="GZ65" t="e">
        <f>AND(#REF!,"AAAAAG7u/88=")</f>
        <v>#REF!</v>
      </c>
      <c r="HA65" t="e">
        <f>AND(#REF!,"AAAAAG7u/9A=")</f>
        <v>#REF!</v>
      </c>
      <c r="HB65" t="e">
        <f>AND(#REF!,"AAAAAG7u/9E=")</f>
        <v>#REF!</v>
      </c>
      <c r="HC65" t="e">
        <f>AND(#REF!,"AAAAAG7u/9I=")</f>
        <v>#REF!</v>
      </c>
      <c r="HD65" t="e">
        <f>AND(#REF!,"AAAAAG7u/9M=")</f>
        <v>#REF!</v>
      </c>
      <c r="HE65" t="e">
        <f>AND(#REF!,"AAAAAG7u/9Q=")</f>
        <v>#REF!</v>
      </c>
      <c r="HF65" t="e">
        <f>AND(#REF!,"AAAAAG7u/9U=")</f>
        <v>#REF!</v>
      </c>
      <c r="HG65" t="e">
        <f>AND(#REF!,"AAAAAG7u/9Y=")</f>
        <v>#REF!</v>
      </c>
      <c r="HH65" t="e">
        <f>AND(#REF!,"AAAAAG7u/9c=")</f>
        <v>#REF!</v>
      </c>
      <c r="HI65" t="e">
        <f>AND(#REF!,"AAAAAG7u/9g=")</f>
        <v>#REF!</v>
      </c>
      <c r="HJ65" t="e">
        <f>AND(#REF!,"AAAAAG7u/9k=")</f>
        <v>#REF!</v>
      </c>
      <c r="HK65" t="e">
        <f>AND(#REF!,"AAAAAG7u/9o=")</f>
        <v>#REF!</v>
      </c>
      <c r="HL65" t="e">
        <f>AND(#REF!,"AAAAAG7u/9s=")</f>
        <v>#REF!</v>
      </c>
      <c r="HM65" t="e">
        <f>AND(#REF!,"AAAAAG7u/9w=")</f>
        <v>#REF!</v>
      </c>
      <c r="HN65" t="e">
        <f>AND(#REF!,"AAAAAG7u/90=")</f>
        <v>#REF!</v>
      </c>
      <c r="HO65" t="e">
        <f>AND(#REF!,"AAAAAG7u/94=")</f>
        <v>#REF!</v>
      </c>
      <c r="HP65" t="e">
        <f>AND(#REF!,"AAAAAG7u/98=")</f>
        <v>#REF!</v>
      </c>
      <c r="HQ65" t="e">
        <f>AND(#REF!,"AAAAAG7u/+A=")</f>
        <v>#REF!</v>
      </c>
      <c r="HR65" t="e">
        <f>AND(#REF!,"AAAAAG7u/+E=")</f>
        <v>#REF!</v>
      </c>
      <c r="HS65" t="e">
        <f>AND(#REF!,"AAAAAG7u/+I=")</f>
        <v>#REF!</v>
      </c>
      <c r="HT65" t="e">
        <f>AND(#REF!,"AAAAAG7u/+M=")</f>
        <v>#REF!</v>
      </c>
      <c r="HU65" t="e">
        <f>AND(#REF!,"AAAAAG7u/+Q=")</f>
        <v>#REF!</v>
      </c>
      <c r="HV65" t="e">
        <f>AND(#REF!,"AAAAAG7u/+U=")</f>
        <v>#REF!</v>
      </c>
      <c r="HW65" t="e">
        <f>AND(#REF!,"AAAAAG7u/+Y=")</f>
        <v>#REF!</v>
      </c>
      <c r="HX65" t="e">
        <f>AND(#REF!,"AAAAAG7u/+c=")</f>
        <v>#REF!</v>
      </c>
      <c r="HY65" t="e">
        <f>AND(#REF!,"AAAAAG7u/+g=")</f>
        <v>#REF!</v>
      </c>
      <c r="HZ65" t="e">
        <f>AND(#REF!,"AAAAAG7u/+k=")</f>
        <v>#REF!</v>
      </c>
      <c r="IA65" t="e">
        <f>AND(#REF!,"AAAAAG7u/+o=")</f>
        <v>#REF!</v>
      </c>
      <c r="IB65" t="e">
        <f>AND(#REF!,"AAAAAG7u/+s=")</f>
        <v>#REF!</v>
      </c>
      <c r="IC65" t="e">
        <f>AND(#REF!,"AAAAAG7u/+w=")</f>
        <v>#REF!</v>
      </c>
      <c r="ID65" t="e">
        <f>AND(#REF!,"AAAAAG7u/+0=")</f>
        <v>#REF!</v>
      </c>
      <c r="IE65" t="e">
        <f>AND(#REF!,"AAAAAG7u/+4=")</f>
        <v>#REF!</v>
      </c>
      <c r="IF65" t="e">
        <f>AND(#REF!,"AAAAAG7u/+8=")</f>
        <v>#REF!</v>
      </c>
      <c r="IG65" t="e">
        <f>AND(#REF!,"AAAAAG7u//A=")</f>
        <v>#REF!</v>
      </c>
      <c r="IH65" t="e">
        <f>AND(#REF!,"AAAAAG7u//E=")</f>
        <v>#REF!</v>
      </c>
      <c r="II65" t="e">
        <f>AND(#REF!,"AAAAAG7u//I=")</f>
        <v>#REF!</v>
      </c>
      <c r="IJ65" t="e">
        <f>AND(#REF!,"AAAAAG7u//M=")</f>
        <v>#REF!</v>
      </c>
      <c r="IK65" t="e">
        <f>AND(#REF!,"AAAAAG7u//Q=")</f>
        <v>#REF!</v>
      </c>
      <c r="IL65" t="e">
        <f>AND(#REF!,"AAAAAG7u//U=")</f>
        <v>#REF!</v>
      </c>
      <c r="IM65" t="e">
        <f>AND(#REF!,"AAAAAG7u//Y=")</f>
        <v>#REF!</v>
      </c>
      <c r="IN65" t="e">
        <f>AND(#REF!,"AAAAAG7u//c=")</f>
        <v>#REF!</v>
      </c>
      <c r="IO65" t="e">
        <f>AND(#REF!,"AAAAAG7u//g=")</f>
        <v>#REF!</v>
      </c>
      <c r="IP65" t="e">
        <f>AND(#REF!,"AAAAAG7u//k=")</f>
        <v>#REF!</v>
      </c>
      <c r="IQ65" t="e">
        <f>AND(#REF!,"AAAAAG7u//o=")</f>
        <v>#REF!</v>
      </c>
      <c r="IR65" t="e">
        <f>AND(#REF!,"AAAAAG7u//s=")</f>
        <v>#REF!</v>
      </c>
      <c r="IS65" t="e">
        <f>AND(#REF!,"AAAAAG7u//w=")</f>
        <v>#REF!</v>
      </c>
      <c r="IT65" t="e">
        <f>AND(#REF!,"AAAAAG7u//0=")</f>
        <v>#REF!</v>
      </c>
      <c r="IU65" t="e">
        <f>AND(#REF!,"AAAAAG7u//4=")</f>
        <v>#REF!</v>
      </c>
      <c r="IV65" t="e">
        <f>AND(#REF!,"AAAAAG7u//8=")</f>
        <v>#REF!</v>
      </c>
    </row>
    <row r="66" spans="1:256" x14ac:dyDescent="0.25">
      <c r="A66" t="e">
        <f>AND(#REF!,"AAAAAH//twA=")</f>
        <v>#REF!</v>
      </c>
      <c r="B66" t="e">
        <f>AND(#REF!,"AAAAAH//twE=")</f>
        <v>#REF!</v>
      </c>
      <c r="C66" t="e">
        <f>AND(#REF!,"AAAAAH//twI=")</f>
        <v>#REF!</v>
      </c>
      <c r="D66" t="e">
        <f>AND(#REF!,"AAAAAH//twM=")</f>
        <v>#REF!</v>
      </c>
      <c r="E66" t="e">
        <f>IF(#REF!,"AAAAAH//twQ=",0)</f>
        <v>#REF!</v>
      </c>
      <c r="F66" t="e">
        <f>AND(#REF!,"AAAAAH//twU=")</f>
        <v>#REF!</v>
      </c>
      <c r="G66" t="e">
        <f>AND(#REF!,"AAAAAH//twY=")</f>
        <v>#REF!</v>
      </c>
      <c r="H66" t="e">
        <f>AND(#REF!,"AAAAAH//twc=")</f>
        <v>#REF!</v>
      </c>
      <c r="I66" t="e">
        <f>AND(#REF!,"AAAAAH//twg=")</f>
        <v>#REF!</v>
      </c>
      <c r="J66" t="e">
        <f>AND(#REF!,"AAAAAH//twk=")</f>
        <v>#REF!</v>
      </c>
      <c r="K66" t="e">
        <f>AND(#REF!,"AAAAAH//two=")</f>
        <v>#REF!</v>
      </c>
      <c r="L66" t="e">
        <f>AND(#REF!,"AAAAAH//tws=")</f>
        <v>#REF!</v>
      </c>
      <c r="M66" t="e">
        <f>AND(#REF!,"AAAAAH//tww=")</f>
        <v>#REF!</v>
      </c>
      <c r="N66" t="e">
        <f>AND(#REF!,"AAAAAH//tw0=")</f>
        <v>#REF!</v>
      </c>
      <c r="O66" t="e">
        <f>AND(#REF!,"AAAAAH//tw4=")</f>
        <v>#REF!</v>
      </c>
      <c r="P66" t="e">
        <f>AND(#REF!,"AAAAAH//tw8=")</f>
        <v>#REF!</v>
      </c>
      <c r="Q66" t="e">
        <f>AND(#REF!,"AAAAAH//txA=")</f>
        <v>#REF!</v>
      </c>
      <c r="R66" t="e">
        <f>AND(#REF!,"AAAAAH//txE=")</f>
        <v>#REF!</v>
      </c>
      <c r="S66" t="e">
        <f>AND(#REF!,"AAAAAH//txI=")</f>
        <v>#REF!</v>
      </c>
      <c r="T66" t="e">
        <f>AND(#REF!,"AAAAAH//txM=")</f>
        <v>#REF!</v>
      </c>
      <c r="U66" t="e">
        <f>AND(#REF!,"AAAAAH//txQ=")</f>
        <v>#REF!</v>
      </c>
      <c r="V66" t="e">
        <f>AND(#REF!,"AAAAAH//txU=")</f>
        <v>#REF!</v>
      </c>
      <c r="W66" t="e">
        <f>AND(#REF!,"AAAAAH//txY=")</f>
        <v>#REF!</v>
      </c>
      <c r="X66" t="e">
        <f>AND(#REF!,"AAAAAH//txc=")</f>
        <v>#REF!</v>
      </c>
      <c r="Y66" t="e">
        <f>AND(#REF!,"AAAAAH//txg=")</f>
        <v>#REF!</v>
      </c>
      <c r="Z66" t="e">
        <f>AND(#REF!,"AAAAAH//txk=")</f>
        <v>#REF!</v>
      </c>
      <c r="AA66" t="e">
        <f>AND(#REF!,"AAAAAH//txo=")</f>
        <v>#REF!</v>
      </c>
      <c r="AB66" t="e">
        <f>AND(#REF!,"AAAAAH//txs=")</f>
        <v>#REF!</v>
      </c>
      <c r="AC66" t="e">
        <f>AND(#REF!,"AAAAAH//txw=")</f>
        <v>#REF!</v>
      </c>
      <c r="AD66" t="e">
        <f>AND(#REF!,"AAAAAH//tx0=")</f>
        <v>#REF!</v>
      </c>
      <c r="AE66" t="e">
        <f>AND(#REF!,"AAAAAH//tx4=")</f>
        <v>#REF!</v>
      </c>
      <c r="AF66" t="e">
        <f>AND(#REF!,"AAAAAH//tx8=")</f>
        <v>#REF!</v>
      </c>
      <c r="AG66" t="e">
        <f>AND(#REF!,"AAAAAH//tyA=")</f>
        <v>#REF!</v>
      </c>
      <c r="AH66" t="e">
        <f>AND(#REF!,"AAAAAH//tyE=")</f>
        <v>#REF!</v>
      </c>
      <c r="AI66" t="e">
        <f>AND(#REF!,"AAAAAH//tyI=")</f>
        <v>#REF!</v>
      </c>
      <c r="AJ66" t="e">
        <f>AND(#REF!,"AAAAAH//tyM=")</f>
        <v>#REF!</v>
      </c>
      <c r="AK66" t="e">
        <f>AND(#REF!,"AAAAAH//tyQ=")</f>
        <v>#REF!</v>
      </c>
      <c r="AL66" t="e">
        <f>AND(#REF!,"AAAAAH//tyU=")</f>
        <v>#REF!</v>
      </c>
      <c r="AM66" t="e">
        <f>AND(#REF!,"AAAAAH//tyY=")</f>
        <v>#REF!</v>
      </c>
      <c r="AN66" t="e">
        <f>AND(#REF!,"AAAAAH//tyc=")</f>
        <v>#REF!</v>
      </c>
      <c r="AO66" t="e">
        <f>AND(#REF!,"AAAAAH//tyg=")</f>
        <v>#REF!</v>
      </c>
      <c r="AP66" t="e">
        <f>AND(#REF!,"AAAAAH//tyk=")</f>
        <v>#REF!</v>
      </c>
      <c r="AQ66" t="e">
        <f>AND(#REF!,"AAAAAH//tyo=")</f>
        <v>#REF!</v>
      </c>
      <c r="AR66" t="e">
        <f>AND(#REF!,"AAAAAH//tys=")</f>
        <v>#REF!</v>
      </c>
      <c r="AS66" t="e">
        <f>AND(#REF!,"AAAAAH//tyw=")</f>
        <v>#REF!</v>
      </c>
      <c r="AT66" t="e">
        <f>AND(#REF!,"AAAAAH//ty0=")</f>
        <v>#REF!</v>
      </c>
      <c r="AU66" t="e">
        <f>AND(#REF!,"AAAAAH//ty4=")</f>
        <v>#REF!</v>
      </c>
      <c r="AV66" t="e">
        <f>AND(#REF!,"AAAAAH//ty8=")</f>
        <v>#REF!</v>
      </c>
      <c r="AW66" t="e">
        <f>AND(#REF!,"AAAAAH//tzA=")</f>
        <v>#REF!</v>
      </c>
      <c r="AX66" t="e">
        <f>AND(#REF!,"AAAAAH//tzE=")</f>
        <v>#REF!</v>
      </c>
      <c r="AY66" t="e">
        <f>AND(#REF!,"AAAAAH//tzI=")</f>
        <v>#REF!</v>
      </c>
      <c r="AZ66" t="e">
        <f>AND(#REF!,"AAAAAH//tzM=")</f>
        <v>#REF!</v>
      </c>
      <c r="BA66" t="e">
        <f>AND(#REF!,"AAAAAH//tzQ=")</f>
        <v>#REF!</v>
      </c>
      <c r="BB66" t="e">
        <f>AND(#REF!,"AAAAAH//tzU=")</f>
        <v>#REF!</v>
      </c>
      <c r="BC66" t="e">
        <f>AND(#REF!,"AAAAAH//tzY=")</f>
        <v>#REF!</v>
      </c>
      <c r="BD66" t="e">
        <f>AND(#REF!,"AAAAAH//tzc=")</f>
        <v>#REF!</v>
      </c>
      <c r="BE66" t="e">
        <f>AND(#REF!,"AAAAAH//tzg=")</f>
        <v>#REF!</v>
      </c>
      <c r="BF66" t="e">
        <f>AND(#REF!,"AAAAAH//tzk=")</f>
        <v>#REF!</v>
      </c>
      <c r="BG66" t="e">
        <f>AND(#REF!,"AAAAAH//tzo=")</f>
        <v>#REF!</v>
      </c>
      <c r="BH66" t="e">
        <f>IF(#REF!,"AAAAAH//tzs=",0)</f>
        <v>#REF!</v>
      </c>
      <c r="BI66" t="e">
        <f>AND(#REF!,"AAAAAH//tzw=")</f>
        <v>#REF!</v>
      </c>
      <c r="BJ66" t="e">
        <f>AND(#REF!,"AAAAAH//tz0=")</f>
        <v>#REF!</v>
      </c>
      <c r="BK66" t="e">
        <f>AND(#REF!,"AAAAAH//tz4=")</f>
        <v>#REF!</v>
      </c>
      <c r="BL66" t="e">
        <f>AND(#REF!,"AAAAAH//tz8=")</f>
        <v>#REF!</v>
      </c>
      <c r="BM66" t="e">
        <f>AND(#REF!,"AAAAAH//t0A=")</f>
        <v>#REF!</v>
      </c>
      <c r="BN66" t="e">
        <f>AND(#REF!,"AAAAAH//t0E=")</f>
        <v>#REF!</v>
      </c>
      <c r="BO66" t="e">
        <f>AND(#REF!,"AAAAAH//t0I=")</f>
        <v>#REF!</v>
      </c>
      <c r="BP66" t="e">
        <f>AND(#REF!,"AAAAAH//t0M=")</f>
        <v>#REF!</v>
      </c>
      <c r="BQ66" t="e">
        <f>AND(#REF!,"AAAAAH//t0Q=")</f>
        <v>#REF!</v>
      </c>
      <c r="BR66" t="e">
        <f>AND(#REF!,"AAAAAH//t0U=")</f>
        <v>#REF!</v>
      </c>
      <c r="BS66" t="e">
        <f>AND(#REF!,"AAAAAH//t0Y=")</f>
        <v>#REF!</v>
      </c>
      <c r="BT66" t="e">
        <f>AND(#REF!,"AAAAAH//t0c=")</f>
        <v>#REF!</v>
      </c>
      <c r="BU66" t="e">
        <f>AND(#REF!,"AAAAAH//t0g=")</f>
        <v>#REF!</v>
      </c>
      <c r="BV66" t="e">
        <f>AND(#REF!,"AAAAAH//t0k=")</f>
        <v>#REF!</v>
      </c>
      <c r="BW66" t="e">
        <f>AND(#REF!,"AAAAAH//t0o=")</f>
        <v>#REF!</v>
      </c>
      <c r="BX66" t="e">
        <f>AND(#REF!,"AAAAAH//t0s=")</f>
        <v>#REF!</v>
      </c>
      <c r="BY66" t="e">
        <f>AND(#REF!,"AAAAAH//t0w=")</f>
        <v>#REF!</v>
      </c>
      <c r="BZ66" t="e">
        <f>AND(#REF!,"AAAAAH//t00=")</f>
        <v>#REF!</v>
      </c>
      <c r="CA66" t="e">
        <f>AND(#REF!,"AAAAAH//t04=")</f>
        <v>#REF!</v>
      </c>
      <c r="CB66" t="e">
        <f>AND(#REF!,"AAAAAH//t08=")</f>
        <v>#REF!</v>
      </c>
      <c r="CC66" t="e">
        <f>AND(#REF!,"AAAAAH//t1A=")</f>
        <v>#REF!</v>
      </c>
      <c r="CD66" t="e">
        <f>AND(#REF!,"AAAAAH//t1E=")</f>
        <v>#REF!</v>
      </c>
      <c r="CE66" t="e">
        <f>AND(#REF!,"AAAAAH//t1I=")</f>
        <v>#REF!</v>
      </c>
      <c r="CF66" t="e">
        <f>AND(#REF!,"AAAAAH//t1M=")</f>
        <v>#REF!</v>
      </c>
      <c r="CG66" t="e">
        <f>AND(#REF!,"AAAAAH//t1Q=")</f>
        <v>#REF!</v>
      </c>
      <c r="CH66" t="e">
        <f>AND(#REF!,"AAAAAH//t1U=")</f>
        <v>#REF!</v>
      </c>
      <c r="CI66" t="e">
        <f>AND(#REF!,"AAAAAH//t1Y=")</f>
        <v>#REF!</v>
      </c>
      <c r="CJ66" t="e">
        <f>AND(#REF!,"AAAAAH//t1c=")</f>
        <v>#REF!</v>
      </c>
      <c r="CK66" t="e">
        <f>AND(#REF!,"AAAAAH//t1g=")</f>
        <v>#REF!</v>
      </c>
      <c r="CL66" t="e">
        <f>AND(#REF!,"AAAAAH//t1k=")</f>
        <v>#REF!</v>
      </c>
      <c r="CM66" t="e">
        <f>AND(#REF!,"AAAAAH//t1o=")</f>
        <v>#REF!</v>
      </c>
      <c r="CN66" t="e">
        <f>AND(#REF!,"AAAAAH//t1s=")</f>
        <v>#REF!</v>
      </c>
      <c r="CO66" t="e">
        <f>AND(#REF!,"AAAAAH//t1w=")</f>
        <v>#REF!</v>
      </c>
      <c r="CP66" t="e">
        <f>AND(#REF!,"AAAAAH//t10=")</f>
        <v>#REF!</v>
      </c>
      <c r="CQ66" t="e">
        <f>AND(#REF!,"AAAAAH//t14=")</f>
        <v>#REF!</v>
      </c>
      <c r="CR66" t="e">
        <f>AND(#REF!,"AAAAAH//t18=")</f>
        <v>#REF!</v>
      </c>
      <c r="CS66" t="e">
        <f>AND(#REF!,"AAAAAH//t2A=")</f>
        <v>#REF!</v>
      </c>
      <c r="CT66" t="e">
        <f>AND(#REF!,"AAAAAH//t2E=")</f>
        <v>#REF!</v>
      </c>
      <c r="CU66" t="e">
        <f>AND(#REF!,"AAAAAH//t2I=")</f>
        <v>#REF!</v>
      </c>
      <c r="CV66" t="e">
        <f>AND(#REF!,"AAAAAH//t2M=")</f>
        <v>#REF!</v>
      </c>
      <c r="CW66" t="e">
        <f>AND(#REF!,"AAAAAH//t2Q=")</f>
        <v>#REF!</v>
      </c>
      <c r="CX66" t="e">
        <f>AND(#REF!,"AAAAAH//t2U=")</f>
        <v>#REF!</v>
      </c>
      <c r="CY66" t="e">
        <f>AND(#REF!,"AAAAAH//t2Y=")</f>
        <v>#REF!</v>
      </c>
      <c r="CZ66" t="e">
        <f>AND(#REF!,"AAAAAH//t2c=")</f>
        <v>#REF!</v>
      </c>
      <c r="DA66" t="e">
        <f>AND(#REF!,"AAAAAH//t2g=")</f>
        <v>#REF!</v>
      </c>
      <c r="DB66" t="e">
        <f>AND(#REF!,"AAAAAH//t2k=")</f>
        <v>#REF!</v>
      </c>
      <c r="DC66" t="e">
        <f>AND(#REF!,"AAAAAH//t2o=")</f>
        <v>#REF!</v>
      </c>
      <c r="DD66" t="e">
        <f>AND(#REF!,"AAAAAH//t2s=")</f>
        <v>#REF!</v>
      </c>
      <c r="DE66" t="e">
        <f>AND(#REF!,"AAAAAH//t2w=")</f>
        <v>#REF!</v>
      </c>
      <c r="DF66" t="e">
        <f>AND(#REF!,"AAAAAH//t20=")</f>
        <v>#REF!</v>
      </c>
      <c r="DG66" t="e">
        <f>AND(#REF!,"AAAAAH//t24=")</f>
        <v>#REF!</v>
      </c>
      <c r="DH66" t="e">
        <f>AND(#REF!,"AAAAAH//t28=")</f>
        <v>#REF!</v>
      </c>
      <c r="DI66" t="e">
        <f>AND(#REF!,"AAAAAH//t3A=")</f>
        <v>#REF!</v>
      </c>
      <c r="DJ66" t="e">
        <f>AND(#REF!,"AAAAAH//t3E=")</f>
        <v>#REF!</v>
      </c>
      <c r="DK66" t="e">
        <f>IF(#REF!,"AAAAAH//t3I=",0)</f>
        <v>#REF!</v>
      </c>
      <c r="DL66" t="e">
        <f>AND(#REF!,"AAAAAH//t3M=")</f>
        <v>#REF!</v>
      </c>
      <c r="DM66" t="e">
        <f>AND(#REF!,"AAAAAH//t3Q=")</f>
        <v>#REF!</v>
      </c>
      <c r="DN66" t="e">
        <f>AND(#REF!,"AAAAAH//t3U=")</f>
        <v>#REF!</v>
      </c>
      <c r="DO66" t="e">
        <f>AND(#REF!,"AAAAAH//t3Y=")</f>
        <v>#REF!</v>
      </c>
      <c r="DP66" t="e">
        <f>AND(#REF!,"AAAAAH//t3c=")</f>
        <v>#REF!</v>
      </c>
      <c r="DQ66" t="e">
        <f>AND(#REF!,"AAAAAH//t3g=")</f>
        <v>#REF!</v>
      </c>
      <c r="DR66" t="e">
        <f>AND(#REF!,"AAAAAH//t3k=")</f>
        <v>#REF!</v>
      </c>
      <c r="DS66" t="e">
        <f>AND(#REF!,"AAAAAH//t3o=")</f>
        <v>#REF!</v>
      </c>
      <c r="DT66" t="e">
        <f>AND(#REF!,"AAAAAH//t3s=")</f>
        <v>#REF!</v>
      </c>
      <c r="DU66" t="e">
        <f>AND(#REF!,"AAAAAH//t3w=")</f>
        <v>#REF!</v>
      </c>
      <c r="DV66" t="e">
        <f>AND(#REF!,"AAAAAH//t30=")</f>
        <v>#REF!</v>
      </c>
      <c r="DW66" t="e">
        <f>AND(#REF!,"AAAAAH//t34=")</f>
        <v>#REF!</v>
      </c>
      <c r="DX66" t="e">
        <f>AND(#REF!,"AAAAAH//t38=")</f>
        <v>#REF!</v>
      </c>
      <c r="DY66" t="e">
        <f>AND(#REF!,"AAAAAH//t4A=")</f>
        <v>#REF!</v>
      </c>
      <c r="DZ66" t="e">
        <f>AND(#REF!,"AAAAAH//t4E=")</f>
        <v>#REF!</v>
      </c>
      <c r="EA66" t="e">
        <f>AND(#REF!,"AAAAAH//t4I=")</f>
        <v>#REF!</v>
      </c>
      <c r="EB66" t="e">
        <f>AND(#REF!,"AAAAAH//t4M=")</f>
        <v>#REF!</v>
      </c>
      <c r="EC66" t="e">
        <f>AND(#REF!,"AAAAAH//t4Q=")</f>
        <v>#REF!</v>
      </c>
      <c r="ED66" t="e">
        <f>AND(#REF!,"AAAAAH//t4U=")</f>
        <v>#REF!</v>
      </c>
      <c r="EE66" t="e">
        <f>AND(#REF!,"AAAAAH//t4Y=")</f>
        <v>#REF!</v>
      </c>
      <c r="EF66" t="e">
        <f>AND(#REF!,"AAAAAH//t4c=")</f>
        <v>#REF!</v>
      </c>
      <c r="EG66" t="e">
        <f>AND(#REF!,"AAAAAH//t4g=")</f>
        <v>#REF!</v>
      </c>
      <c r="EH66" t="e">
        <f>AND(#REF!,"AAAAAH//t4k=")</f>
        <v>#REF!</v>
      </c>
      <c r="EI66" t="e">
        <f>AND(#REF!,"AAAAAH//t4o=")</f>
        <v>#REF!</v>
      </c>
      <c r="EJ66" t="e">
        <f>AND(#REF!,"AAAAAH//t4s=")</f>
        <v>#REF!</v>
      </c>
      <c r="EK66" t="e">
        <f>AND(#REF!,"AAAAAH//t4w=")</f>
        <v>#REF!</v>
      </c>
      <c r="EL66" t="e">
        <f>AND(#REF!,"AAAAAH//t40=")</f>
        <v>#REF!</v>
      </c>
      <c r="EM66" t="e">
        <f>AND(#REF!,"AAAAAH//t44=")</f>
        <v>#REF!</v>
      </c>
      <c r="EN66" t="e">
        <f>AND(#REF!,"AAAAAH//t48=")</f>
        <v>#REF!</v>
      </c>
      <c r="EO66" t="e">
        <f>AND(#REF!,"AAAAAH//t5A=")</f>
        <v>#REF!</v>
      </c>
      <c r="EP66" t="e">
        <f>AND(#REF!,"AAAAAH//t5E=")</f>
        <v>#REF!</v>
      </c>
      <c r="EQ66" t="e">
        <f>AND(#REF!,"AAAAAH//t5I=")</f>
        <v>#REF!</v>
      </c>
      <c r="ER66" t="e">
        <f>AND(#REF!,"AAAAAH//t5M=")</f>
        <v>#REF!</v>
      </c>
      <c r="ES66" t="e">
        <f>AND(#REF!,"AAAAAH//t5Q=")</f>
        <v>#REF!</v>
      </c>
      <c r="ET66" t="e">
        <f>AND(#REF!,"AAAAAH//t5U=")</f>
        <v>#REF!</v>
      </c>
      <c r="EU66" t="e">
        <f>AND(#REF!,"AAAAAH//t5Y=")</f>
        <v>#REF!</v>
      </c>
      <c r="EV66" t="e">
        <f>AND(#REF!,"AAAAAH//t5c=")</f>
        <v>#REF!</v>
      </c>
      <c r="EW66" t="e">
        <f>AND(#REF!,"AAAAAH//t5g=")</f>
        <v>#REF!</v>
      </c>
      <c r="EX66" t="e">
        <f>AND(#REF!,"AAAAAH//t5k=")</f>
        <v>#REF!</v>
      </c>
      <c r="EY66" t="e">
        <f>AND(#REF!,"AAAAAH//t5o=")</f>
        <v>#REF!</v>
      </c>
      <c r="EZ66" t="e">
        <f>AND(#REF!,"AAAAAH//t5s=")</f>
        <v>#REF!</v>
      </c>
      <c r="FA66" t="e">
        <f>AND(#REF!,"AAAAAH//t5w=")</f>
        <v>#REF!</v>
      </c>
      <c r="FB66" t="e">
        <f>AND(#REF!,"AAAAAH//t50=")</f>
        <v>#REF!</v>
      </c>
      <c r="FC66" t="e">
        <f>AND(#REF!,"AAAAAH//t54=")</f>
        <v>#REF!</v>
      </c>
      <c r="FD66" t="e">
        <f>AND(#REF!,"AAAAAH//t58=")</f>
        <v>#REF!</v>
      </c>
      <c r="FE66" t="e">
        <f>AND(#REF!,"AAAAAH//t6A=")</f>
        <v>#REF!</v>
      </c>
      <c r="FF66" t="e">
        <f>AND(#REF!,"AAAAAH//t6E=")</f>
        <v>#REF!</v>
      </c>
      <c r="FG66" t="e">
        <f>AND(#REF!,"AAAAAH//t6I=")</f>
        <v>#REF!</v>
      </c>
      <c r="FH66" t="e">
        <f>AND(#REF!,"AAAAAH//t6M=")</f>
        <v>#REF!</v>
      </c>
      <c r="FI66" t="e">
        <f>AND(#REF!,"AAAAAH//t6Q=")</f>
        <v>#REF!</v>
      </c>
      <c r="FJ66" t="e">
        <f>AND(#REF!,"AAAAAH//t6U=")</f>
        <v>#REF!</v>
      </c>
      <c r="FK66" t="e">
        <f>AND(#REF!,"AAAAAH//t6Y=")</f>
        <v>#REF!</v>
      </c>
      <c r="FL66" t="e">
        <f>AND(#REF!,"AAAAAH//t6c=")</f>
        <v>#REF!</v>
      </c>
      <c r="FM66" t="e">
        <f>AND(#REF!,"AAAAAH//t6g=")</f>
        <v>#REF!</v>
      </c>
      <c r="FN66" t="e">
        <f>IF(#REF!,"AAAAAH//t6k=",0)</f>
        <v>#REF!</v>
      </c>
      <c r="FO66" t="e">
        <f>AND(#REF!,"AAAAAH//t6o=")</f>
        <v>#REF!</v>
      </c>
      <c r="FP66" t="e">
        <f>AND(#REF!,"AAAAAH//t6s=")</f>
        <v>#REF!</v>
      </c>
      <c r="FQ66" t="e">
        <f>AND(#REF!,"AAAAAH//t6w=")</f>
        <v>#REF!</v>
      </c>
      <c r="FR66" t="e">
        <f>AND(#REF!,"AAAAAH//t60=")</f>
        <v>#REF!</v>
      </c>
      <c r="FS66" t="e">
        <f>AND(#REF!,"AAAAAH//t64=")</f>
        <v>#REF!</v>
      </c>
      <c r="FT66" t="e">
        <f>AND(#REF!,"AAAAAH//t68=")</f>
        <v>#REF!</v>
      </c>
      <c r="FU66" t="e">
        <f>AND(#REF!,"AAAAAH//t7A=")</f>
        <v>#REF!</v>
      </c>
      <c r="FV66" t="e">
        <f>AND(#REF!,"AAAAAH//t7E=")</f>
        <v>#REF!</v>
      </c>
      <c r="FW66" t="e">
        <f>AND(#REF!,"AAAAAH//t7I=")</f>
        <v>#REF!</v>
      </c>
      <c r="FX66" t="e">
        <f>AND(#REF!,"AAAAAH//t7M=")</f>
        <v>#REF!</v>
      </c>
      <c r="FY66" t="e">
        <f>AND(#REF!,"AAAAAH//t7Q=")</f>
        <v>#REF!</v>
      </c>
      <c r="FZ66" t="e">
        <f>AND(#REF!,"AAAAAH//t7U=")</f>
        <v>#REF!</v>
      </c>
      <c r="GA66" t="e">
        <f>AND(#REF!,"AAAAAH//t7Y=")</f>
        <v>#REF!</v>
      </c>
      <c r="GB66" t="e">
        <f>AND(#REF!,"AAAAAH//t7c=")</f>
        <v>#REF!</v>
      </c>
      <c r="GC66" t="e">
        <f>AND(#REF!,"AAAAAH//t7g=")</f>
        <v>#REF!</v>
      </c>
      <c r="GD66" t="e">
        <f>AND(#REF!,"AAAAAH//t7k=")</f>
        <v>#REF!</v>
      </c>
      <c r="GE66" t="e">
        <f>AND(#REF!,"AAAAAH//t7o=")</f>
        <v>#REF!</v>
      </c>
      <c r="GF66" t="e">
        <f>AND(#REF!,"AAAAAH//t7s=")</f>
        <v>#REF!</v>
      </c>
      <c r="GG66" t="e">
        <f>AND(#REF!,"AAAAAH//t7w=")</f>
        <v>#REF!</v>
      </c>
      <c r="GH66" t="e">
        <f>AND(#REF!,"AAAAAH//t70=")</f>
        <v>#REF!</v>
      </c>
      <c r="GI66" t="e">
        <f>AND(#REF!,"AAAAAH//t74=")</f>
        <v>#REF!</v>
      </c>
      <c r="GJ66" t="e">
        <f>AND(#REF!,"AAAAAH//t78=")</f>
        <v>#REF!</v>
      </c>
      <c r="GK66" t="e">
        <f>AND(#REF!,"AAAAAH//t8A=")</f>
        <v>#REF!</v>
      </c>
      <c r="GL66" t="e">
        <f>AND(#REF!,"AAAAAH//t8E=")</f>
        <v>#REF!</v>
      </c>
      <c r="GM66" t="e">
        <f>AND(#REF!,"AAAAAH//t8I=")</f>
        <v>#REF!</v>
      </c>
      <c r="GN66" t="e">
        <f>AND(#REF!,"AAAAAH//t8M=")</f>
        <v>#REF!</v>
      </c>
      <c r="GO66" t="e">
        <f>AND(#REF!,"AAAAAH//t8Q=")</f>
        <v>#REF!</v>
      </c>
      <c r="GP66" t="e">
        <f>AND(#REF!,"AAAAAH//t8U=")</f>
        <v>#REF!</v>
      </c>
      <c r="GQ66" t="e">
        <f>AND(#REF!,"AAAAAH//t8Y=")</f>
        <v>#REF!</v>
      </c>
      <c r="GR66" t="e">
        <f>AND(#REF!,"AAAAAH//t8c=")</f>
        <v>#REF!</v>
      </c>
      <c r="GS66" t="e">
        <f>AND(#REF!,"AAAAAH//t8g=")</f>
        <v>#REF!</v>
      </c>
      <c r="GT66" t="e">
        <f>AND(#REF!,"AAAAAH//t8k=")</f>
        <v>#REF!</v>
      </c>
      <c r="GU66" t="e">
        <f>AND(#REF!,"AAAAAH//t8o=")</f>
        <v>#REF!</v>
      </c>
      <c r="GV66" t="e">
        <f>AND(#REF!,"AAAAAH//t8s=")</f>
        <v>#REF!</v>
      </c>
      <c r="GW66" t="e">
        <f>AND(#REF!,"AAAAAH//t8w=")</f>
        <v>#REF!</v>
      </c>
      <c r="GX66" t="e">
        <f>AND(#REF!,"AAAAAH//t80=")</f>
        <v>#REF!</v>
      </c>
      <c r="GY66" t="e">
        <f>AND(#REF!,"AAAAAH//t84=")</f>
        <v>#REF!</v>
      </c>
      <c r="GZ66" t="e">
        <f>AND(#REF!,"AAAAAH//t88=")</f>
        <v>#REF!</v>
      </c>
      <c r="HA66" t="e">
        <f>AND(#REF!,"AAAAAH//t9A=")</f>
        <v>#REF!</v>
      </c>
      <c r="HB66" t="e">
        <f>AND(#REF!,"AAAAAH//t9E=")</f>
        <v>#REF!</v>
      </c>
      <c r="HC66" t="e">
        <f>AND(#REF!,"AAAAAH//t9I=")</f>
        <v>#REF!</v>
      </c>
      <c r="HD66" t="e">
        <f>AND(#REF!,"AAAAAH//t9M=")</f>
        <v>#REF!</v>
      </c>
      <c r="HE66" t="e">
        <f>AND(#REF!,"AAAAAH//t9Q=")</f>
        <v>#REF!</v>
      </c>
      <c r="HF66" t="e">
        <f>AND(#REF!,"AAAAAH//t9U=")</f>
        <v>#REF!</v>
      </c>
      <c r="HG66" t="e">
        <f>AND(#REF!,"AAAAAH//t9Y=")</f>
        <v>#REF!</v>
      </c>
      <c r="HH66" t="e">
        <f>AND(#REF!,"AAAAAH//t9c=")</f>
        <v>#REF!</v>
      </c>
      <c r="HI66" t="e">
        <f>AND(#REF!,"AAAAAH//t9g=")</f>
        <v>#REF!</v>
      </c>
      <c r="HJ66" t="e">
        <f>AND(#REF!,"AAAAAH//t9k=")</f>
        <v>#REF!</v>
      </c>
      <c r="HK66" t="e">
        <f>AND(#REF!,"AAAAAH//t9o=")</f>
        <v>#REF!</v>
      </c>
      <c r="HL66" t="e">
        <f>AND(#REF!,"AAAAAH//t9s=")</f>
        <v>#REF!</v>
      </c>
      <c r="HM66" t="e">
        <f>AND(#REF!,"AAAAAH//t9w=")</f>
        <v>#REF!</v>
      </c>
      <c r="HN66" t="e">
        <f>AND(#REF!,"AAAAAH//t90=")</f>
        <v>#REF!</v>
      </c>
      <c r="HO66" t="e">
        <f>AND(#REF!,"AAAAAH//t94=")</f>
        <v>#REF!</v>
      </c>
      <c r="HP66" t="e">
        <f>AND(#REF!,"AAAAAH//t98=")</f>
        <v>#REF!</v>
      </c>
      <c r="HQ66" t="e">
        <f>IF(#REF!,"AAAAAH//t+A=",0)</f>
        <v>#REF!</v>
      </c>
      <c r="HR66" t="e">
        <f>AND(#REF!,"AAAAAH//t+E=")</f>
        <v>#REF!</v>
      </c>
      <c r="HS66" t="e">
        <f>AND(#REF!,"AAAAAH//t+I=")</f>
        <v>#REF!</v>
      </c>
      <c r="HT66" t="e">
        <f>AND(#REF!,"AAAAAH//t+M=")</f>
        <v>#REF!</v>
      </c>
      <c r="HU66" t="e">
        <f>AND(#REF!,"AAAAAH//t+Q=")</f>
        <v>#REF!</v>
      </c>
      <c r="HV66" t="e">
        <f>AND(#REF!,"AAAAAH//t+U=")</f>
        <v>#REF!</v>
      </c>
      <c r="HW66" t="e">
        <f>AND(#REF!,"AAAAAH//t+Y=")</f>
        <v>#REF!</v>
      </c>
      <c r="HX66" t="e">
        <f>AND(#REF!,"AAAAAH//t+c=")</f>
        <v>#REF!</v>
      </c>
      <c r="HY66" t="e">
        <f>AND(#REF!,"AAAAAH//t+g=")</f>
        <v>#REF!</v>
      </c>
      <c r="HZ66" t="e">
        <f>AND(#REF!,"AAAAAH//t+k=")</f>
        <v>#REF!</v>
      </c>
      <c r="IA66" t="e">
        <f>AND(#REF!,"AAAAAH//t+o=")</f>
        <v>#REF!</v>
      </c>
      <c r="IB66" t="e">
        <f>AND(#REF!,"AAAAAH//t+s=")</f>
        <v>#REF!</v>
      </c>
      <c r="IC66" t="e">
        <f>AND(#REF!,"AAAAAH//t+w=")</f>
        <v>#REF!</v>
      </c>
      <c r="ID66" t="e">
        <f>AND(#REF!,"AAAAAH//t+0=")</f>
        <v>#REF!</v>
      </c>
      <c r="IE66" t="e">
        <f>AND(#REF!,"AAAAAH//t+4=")</f>
        <v>#REF!</v>
      </c>
      <c r="IF66" t="e">
        <f>AND(#REF!,"AAAAAH//t+8=")</f>
        <v>#REF!</v>
      </c>
      <c r="IG66" t="e">
        <f>AND(#REF!,"AAAAAH//t/A=")</f>
        <v>#REF!</v>
      </c>
      <c r="IH66" t="e">
        <f>AND(#REF!,"AAAAAH//t/E=")</f>
        <v>#REF!</v>
      </c>
      <c r="II66" t="e">
        <f>AND(#REF!,"AAAAAH//t/I=")</f>
        <v>#REF!</v>
      </c>
      <c r="IJ66" t="e">
        <f>AND(#REF!,"AAAAAH//t/M=")</f>
        <v>#REF!</v>
      </c>
      <c r="IK66" t="e">
        <f>AND(#REF!,"AAAAAH//t/Q=")</f>
        <v>#REF!</v>
      </c>
      <c r="IL66" t="e">
        <f>AND(#REF!,"AAAAAH//t/U=")</f>
        <v>#REF!</v>
      </c>
      <c r="IM66" t="e">
        <f>AND(#REF!,"AAAAAH//t/Y=")</f>
        <v>#REF!</v>
      </c>
      <c r="IN66" t="e">
        <f>AND(#REF!,"AAAAAH//t/c=")</f>
        <v>#REF!</v>
      </c>
      <c r="IO66" t="e">
        <f>AND(#REF!,"AAAAAH//t/g=")</f>
        <v>#REF!</v>
      </c>
      <c r="IP66" t="e">
        <f>AND(#REF!,"AAAAAH//t/k=")</f>
        <v>#REF!</v>
      </c>
      <c r="IQ66" t="e">
        <f>AND(#REF!,"AAAAAH//t/o=")</f>
        <v>#REF!</v>
      </c>
      <c r="IR66" t="e">
        <f>AND(#REF!,"AAAAAH//t/s=")</f>
        <v>#REF!</v>
      </c>
      <c r="IS66" t="e">
        <f>AND(#REF!,"AAAAAH//t/w=")</f>
        <v>#REF!</v>
      </c>
      <c r="IT66" t="e">
        <f>AND(#REF!,"AAAAAH//t/0=")</f>
        <v>#REF!</v>
      </c>
      <c r="IU66" t="e">
        <f>AND(#REF!,"AAAAAH//t/4=")</f>
        <v>#REF!</v>
      </c>
      <c r="IV66" t="e">
        <f>AND(#REF!,"AAAAAH//t/8=")</f>
        <v>#REF!</v>
      </c>
    </row>
    <row r="67" spans="1:256" x14ac:dyDescent="0.25">
      <c r="A67" t="e">
        <f>AND(#REF!,"AAAAAD+fMgA=")</f>
        <v>#REF!</v>
      </c>
      <c r="B67" t="e">
        <f>AND(#REF!,"AAAAAD+fMgE=")</f>
        <v>#REF!</v>
      </c>
      <c r="C67" t="e">
        <f>AND(#REF!,"AAAAAD+fMgI=")</f>
        <v>#REF!</v>
      </c>
      <c r="D67" t="e">
        <f>AND(#REF!,"AAAAAD+fMgM=")</f>
        <v>#REF!</v>
      </c>
      <c r="E67" t="e">
        <f>AND(#REF!,"AAAAAD+fMgQ=")</f>
        <v>#REF!</v>
      </c>
      <c r="F67" t="e">
        <f>AND(#REF!,"AAAAAD+fMgU=")</f>
        <v>#REF!</v>
      </c>
      <c r="G67" t="e">
        <f>AND(#REF!,"AAAAAD+fMgY=")</f>
        <v>#REF!</v>
      </c>
      <c r="H67" t="e">
        <f>AND(#REF!,"AAAAAD+fMgc=")</f>
        <v>#REF!</v>
      </c>
      <c r="I67" t="e">
        <f>AND(#REF!,"AAAAAD+fMgg=")</f>
        <v>#REF!</v>
      </c>
      <c r="J67" t="e">
        <f>AND(#REF!,"AAAAAD+fMgk=")</f>
        <v>#REF!</v>
      </c>
      <c r="K67" t="e">
        <f>AND(#REF!,"AAAAAD+fMgo=")</f>
        <v>#REF!</v>
      </c>
      <c r="L67" t="e">
        <f>AND(#REF!,"AAAAAD+fMgs=")</f>
        <v>#REF!</v>
      </c>
      <c r="M67" t="e">
        <f>AND(#REF!,"AAAAAD+fMgw=")</f>
        <v>#REF!</v>
      </c>
      <c r="N67" t="e">
        <f>AND(#REF!,"AAAAAD+fMg0=")</f>
        <v>#REF!</v>
      </c>
      <c r="O67" t="e">
        <f>AND(#REF!,"AAAAAD+fMg4=")</f>
        <v>#REF!</v>
      </c>
      <c r="P67" t="e">
        <f>AND(#REF!,"AAAAAD+fMg8=")</f>
        <v>#REF!</v>
      </c>
      <c r="Q67" t="e">
        <f>AND(#REF!,"AAAAAD+fMhA=")</f>
        <v>#REF!</v>
      </c>
      <c r="R67" t="e">
        <f>AND(#REF!,"AAAAAD+fMhE=")</f>
        <v>#REF!</v>
      </c>
      <c r="S67" t="e">
        <f>AND(#REF!,"AAAAAD+fMhI=")</f>
        <v>#REF!</v>
      </c>
      <c r="T67" t="e">
        <f>AND(#REF!,"AAAAAD+fMhM=")</f>
        <v>#REF!</v>
      </c>
      <c r="U67" t="e">
        <f>AND(#REF!,"AAAAAD+fMhQ=")</f>
        <v>#REF!</v>
      </c>
      <c r="V67" t="e">
        <f>AND(#REF!,"AAAAAD+fMhU=")</f>
        <v>#REF!</v>
      </c>
      <c r="W67" t="e">
        <f>AND(#REF!,"AAAAAD+fMhY=")</f>
        <v>#REF!</v>
      </c>
      <c r="X67" t="e">
        <f>IF(#REF!,"AAAAAD+fMhc=",0)</f>
        <v>#REF!</v>
      </c>
      <c r="Y67" t="e">
        <f>AND(#REF!,"AAAAAD+fMhg=")</f>
        <v>#REF!</v>
      </c>
      <c r="Z67" t="e">
        <f>AND(#REF!,"AAAAAD+fMhk=")</f>
        <v>#REF!</v>
      </c>
      <c r="AA67" t="e">
        <f>AND(#REF!,"AAAAAD+fMho=")</f>
        <v>#REF!</v>
      </c>
      <c r="AB67" t="e">
        <f>AND(#REF!,"AAAAAD+fMhs=")</f>
        <v>#REF!</v>
      </c>
      <c r="AC67" t="e">
        <f>AND(#REF!,"AAAAAD+fMhw=")</f>
        <v>#REF!</v>
      </c>
      <c r="AD67" t="e">
        <f>AND(#REF!,"AAAAAD+fMh0=")</f>
        <v>#REF!</v>
      </c>
      <c r="AE67" t="e">
        <f>AND(#REF!,"AAAAAD+fMh4=")</f>
        <v>#REF!</v>
      </c>
      <c r="AF67" t="e">
        <f>AND(#REF!,"AAAAAD+fMh8=")</f>
        <v>#REF!</v>
      </c>
      <c r="AG67" t="e">
        <f>AND(#REF!,"AAAAAD+fMiA=")</f>
        <v>#REF!</v>
      </c>
      <c r="AH67" t="e">
        <f>AND(#REF!,"AAAAAD+fMiE=")</f>
        <v>#REF!</v>
      </c>
      <c r="AI67" t="e">
        <f>AND(#REF!,"AAAAAD+fMiI=")</f>
        <v>#REF!</v>
      </c>
      <c r="AJ67" t="e">
        <f>AND(#REF!,"AAAAAD+fMiM=")</f>
        <v>#REF!</v>
      </c>
      <c r="AK67" t="e">
        <f>AND(#REF!,"AAAAAD+fMiQ=")</f>
        <v>#REF!</v>
      </c>
      <c r="AL67" t="e">
        <f>AND(#REF!,"AAAAAD+fMiU=")</f>
        <v>#REF!</v>
      </c>
      <c r="AM67" t="e">
        <f>AND(#REF!,"AAAAAD+fMiY=")</f>
        <v>#REF!</v>
      </c>
      <c r="AN67" t="e">
        <f>AND(#REF!,"AAAAAD+fMic=")</f>
        <v>#REF!</v>
      </c>
      <c r="AO67" t="e">
        <f>AND(#REF!,"AAAAAD+fMig=")</f>
        <v>#REF!</v>
      </c>
      <c r="AP67" t="e">
        <f>AND(#REF!,"AAAAAD+fMik=")</f>
        <v>#REF!</v>
      </c>
      <c r="AQ67" t="e">
        <f>AND(#REF!,"AAAAAD+fMio=")</f>
        <v>#REF!</v>
      </c>
      <c r="AR67" t="e">
        <f>AND(#REF!,"AAAAAD+fMis=")</f>
        <v>#REF!</v>
      </c>
      <c r="AS67" t="e">
        <f>AND(#REF!,"AAAAAD+fMiw=")</f>
        <v>#REF!</v>
      </c>
      <c r="AT67" t="e">
        <f>AND(#REF!,"AAAAAD+fMi0=")</f>
        <v>#REF!</v>
      </c>
      <c r="AU67" t="e">
        <f>AND(#REF!,"AAAAAD+fMi4=")</f>
        <v>#REF!</v>
      </c>
      <c r="AV67" t="e">
        <f>AND(#REF!,"AAAAAD+fMi8=")</f>
        <v>#REF!</v>
      </c>
      <c r="AW67" t="e">
        <f>AND(#REF!,"AAAAAD+fMjA=")</f>
        <v>#REF!</v>
      </c>
      <c r="AX67" t="e">
        <f>AND(#REF!,"AAAAAD+fMjE=")</f>
        <v>#REF!</v>
      </c>
      <c r="AY67" t="e">
        <f>AND(#REF!,"AAAAAD+fMjI=")</f>
        <v>#REF!</v>
      </c>
      <c r="AZ67" t="e">
        <f>AND(#REF!,"AAAAAD+fMjM=")</f>
        <v>#REF!</v>
      </c>
      <c r="BA67" t="e">
        <f>AND(#REF!,"AAAAAD+fMjQ=")</f>
        <v>#REF!</v>
      </c>
      <c r="BB67" t="e">
        <f>AND(#REF!,"AAAAAD+fMjU=")</f>
        <v>#REF!</v>
      </c>
      <c r="BC67" t="e">
        <f>AND(#REF!,"AAAAAD+fMjY=")</f>
        <v>#REF!</v>
      </c>
      <c r="BD67" t="e">
        <f>AND(#REF!,"AAAAAD+fMjc=")</f>
        <v>#REF!</v>
      </c>
      <c r="BE67" t="e">
        <f>AND(#REF!,"AAAAAD+fMjg=")</f>
        <v>#REF!</v>
      </c>
      <c r="BF67" t="e">
        <f>AND(#REF!,"AAAAAD+fMjk=")</f>
        <v>#REF!</v>
      </c>
      <c r="BG67" t="e">
        <f>AND(#REF!,"AAAAAD+fMjo=")</f>
        <v>#REF!</v>
      </c>
      <c r="BH67" t="e">
        <f>AND(#REF!,"AAAAAD+fMjs=")</f>
        <v>#REF!</v>
      </c>
      <c r="BI67" t="e">
        <f>AND(#REF!,"AAAAAD+fMjw=")</f>
        <v>#REF!</v>
      </c>
      <c r="BJ67" t="e">
        <f>AND(#REF!,"AAAAAD+fMj0=")</f>
        <v>#REF!</v>
      </c>
      <c r="BK67" t="e">
        <f>AND(#REF!,"AAAAAD+fMj4=")</f>
        <v>#REF!</v>
      </c>
      <c r="BL67" t="e">
        <f>AND(#REF!,"AAAAAD+fMj8=")</f>
        <v>#REF!</v>
      </c>
      <c r="BM67" t="e">
        <f>AND(#REF!,"AAAAAD+fMkA=")</f>
        <v>#REF!</v>
      </c>
      <c r="BN67" t="e">
        <f>AND(#REF!,"AAAAAD+fMkE=")</f>
        <v>#REF!</v>
      </c>
      <c r="BO67" t="e">
        <f>AND(#REF!,"AAAAAD+fMkI=")</f>
        <v>#REF!</v>
      </c>
      <c r="BP67" t="e">
        <f>AND(#REF!,"AAAAAD+fMkM=")</f>
        <v>#REF!</v>
      </c>
      <c r="BQ67" t="e">
        <f>AND(#REF!,"AAAAAD+fMkQ=")</f>
        <v>#REF!</v>
      </c>
      <c r="BR67" t="e">
        <f>AND(#REF!,"AAAAAD+fMkU=")</f>
        <v>#REF!</v>
      </c>
      <c r="BS67" t="e">
        <f>AND(#REF!,"AAAAAD+fMkY=")</f>
        <v>#REF!</v>
      </c>
      <c r="BT67" t="e">
        <f>AND(#REF!,"AAAAAD+fMkc=")</f>
        <v>#REF!</v>
      </c>
      <c r="BU67" t="e">
        <f>AND(#REF!,"AAAAAD+fMkg=")</f>
        <v>#REF!</v>
      </c>
      <c r="BV67" t="e">
        <f>AND(#REF!,"AAAAAD+fMkk=")</f>
        <v>#REF!</v>
      </c>
      <c r="BW67" t="e">
        <f>AND(#REF!,"AAAAAD+fMko=")</f>
        <v>#REF!</v>
      </c>
      <c r="BX67" t="e">
        <f>AND(#REF!,"AAAAAD+fMks=")</f>
        <v>#REF!</v>
      </c>
      <c r="BY67" t="e">
        <f>AND(#REF!,"AAAAAD+fMkw=")</f>
        <v>#REF!</v>
      </c>
      <c r="BZ67" t="e">
        <f>AND(#REF!,"AAAAAD+fMk0=")</f>
        <v>#REF!</v>
      </c>
      <c r="CA67" t="e">
        <f>IF(#REF!,"AAAAAD+fMk4=",0)</f>
        <v>#REF!</v>
      </c>
      <c r="CB67" t="e">
        <f>AND(#REF!,"AAAAAD+fMk8=")</f>
        <v>#REF!</v>
      </c>
      <c r="CC67" t="e">
        <f>AND(#REF!,"AAAAAD+fMlA=")</f>
        <v>#REF!</v>
      </c>
      <c r="CD67" t="e">
        <f>AND(#REF!,"AAAAAD+fMlE=")</f>
        <v>#REF!</v>
      </c>
      <c r="CE67" t="e">
        <f>AND(#REF!,"AAAAAD+fMlI=")</f>
        <v>#REF!</v>
      </c>
      <c r="CF67" t="e">
        <f>AND(#REF!,"AAAAAD+fMlM=")</f>
        <v>#REF!</v>
      </c>
      <c r="CG67" t="e">
        <f>AND(#REF!,"AAAAAD+fMlQ=")</f>
        <v>#REF!</v>
      </c>
      <c r="CH67" t="e">
        <f>AND(#REF!,"AAAAAD+fMlU=")</f>
        <v>#REF!</v>
      </c>
      <c r="CI67" t="e">
        <f>AND(#REF!,"AAAAAD+fMlY=")</f>
        <v>#REF!</v>
      </c>
      <c r="CJ67" t="e">
        <f>AND(#REF!,"AAAAAD+fMlc=")</f>
        <v>#REF!</v>
      </c>
      <c r="CK67" t="e">
        <f>AND(#REF!,"AAAAAD+fMlg=")</f>
        <v>#REF!</v>
      </c>
      <c r="CL67" t="e">
        <f>AND(#REF!,"AAAAAD+fMlk=")</f>
        <v>#REF!</v>
      </c>
      <c r="CM67" t="e">
        <f>AND(#REF!,"AAAAAD+fMlo=")</f>
        <v>#REF!</v>
      </c>
      <c r="CN67" t="e">
        <f>AND(#REF!,"AAAAAD+fMls=")</f>
        <v>#REF!</v>
      </c>
      <c r="CO67" t="e">
        <f>AND(#REF!,"AAAAAD+fMlw=")</f>
        <v>#REF!</v>
      </c>
      <c r="CP67" t="e">
        <f>AND(#REF!,"AAAAAD+fMl0=")</f>
        <v>#REF!</v>
      </c>
      <c r="CQ67" t="e">
        <f>AND(#REF!,"AAAAAD+fMl4=")</f>
        <v>#REF!</v>
      </c>
      <c r="CR67" t="e">
        <f>AND(#REF!,"AAAAAD+fMl8=")</f>
        <v>#REF!</v>
      </c>
      <c r="CS67" t="e">
        <f>AND(#REF!,"AAAAAD+fMmA=")</f>
        <v>#REF!</v>
      </c>
      <c r="CT67" t="e">
        <f>AND(#REF!,"AAAAAD+fMmE=")</f>
        <v>#REF!</v>
      </c>
      <c r="CU67" t="e">
        <f>AND(#REF!,"AAAAAD+fMmI=")</f>
        <v>#REF!</v>
      </c>
      <c r="CV67" t="e">
        <f>AND(#REF!,"AAAAAD+fMmM=")</f>
        <v>#REF!</v>
      </c>
      <c r="CW67" t="e">
        <f>AND(#REF!,"AAAAAD+fMmQ=")</f>
        <v>#REF!</v>
      </c>
      <c r="CX67" t="e">
        <f>AND(#REF!,"AAAAAD+fMmU=")</f>
        <v>#REF!</v>
      </c>
      <c r="CY67" t="e">
        <f>AND(#REF!,"AAAAAD+fMmY=")</f>
        <v>#REF!</v>
      </c>
      <c r="CZ67" t="e">
        <f>AND(#REF!,"AAAAAD+fMmc=")</f>
        <v>#REF!</v>
      </c>
      <c r="DA67" t="e">
        <f>AND(#REF!,"AAAAAD+fMmg=")</f>
        <v>#REF!</v>
      </c>
      <c r="DB67" t="e">
        <f>AND(#REF!,"AAAAAD+fMmk=")</f>
        <v>#REF!</v>
      </c>
      <c r="DC67" t="e">
        <f>AND(#REF!,"AAAAAD+fMmo=")</f>
        <v>#REF!</v>
      </c>
      <c r="DD67" t="e">
        <f>AND(#REF!,"AAAAAD+fMms=")</f>
        <v>#REF!</v>
      </c>
      <c r="DE67" t="e">
        <f>AND(#REF!,"AAAAAD+fMmw=")</f>
        <v>#REF!</v>
      </c>
      <c r="DF67" t="e">
        <f>AND(#REF!,"AAAAAD+fMm0=")</f>
        <v>#REF!</v>
      </c>
      <c r="DG67" t="e">
        <f>AND(#REF!,"AAAAAD+fMm4=")</f>
        <v>#REF!</v>
      </c>
      <c r="DH67" t="e">
        <f>AND(#REF!,"AAAAAD+fMm8=")</f>
        <v>#REF!</v>
      </c>
      <c r="DI67" t="e">
        <f>AND(#REF!,"AAAAAD+fMnA=")</f>
        <v>#REF!</v>
      </c>
      <c r="DJ67" t="e">
        <f>AND(#REF!,"AAAAAD+fMnE=")</f>
        <v>#REF!</v>
      </c>
      <c r="DK67" t="e">
        <f>AND(#REF!,"AAAAAD+fMnI=")</f>
        <v>#REF!</v>
      </c>
      <c r="DL67" t="e">
        <f>AND(#REF!,"AAAAAD+fMnM=")</f>
        <v>#REF!</v>
      </c>
      <c r="DM67" t="e">
        <f>AND(#REF!,"AAAAAD+fMnQ=")</f>
        <v>#REF!</v>
      </c>
      <c r="DN67" t="e">
        <f>AND(#REF!,"AAAAAD+fMnU=")</f>
        <v>#REF!</v>
      </c>
      <c r="DO67" t="e">
        <f>AND(#REF!,"AAAAAD+fMnY=")</f>
        <v>#REF!</v>
      </c>
      <c r="DP67" t="e">
        <f>AND(#REF!,"AAAAAD+fMnc=")</f>
        <v>#REF!</v>
      </c>
      <c r="DQ67" t="e">
        <f>AND(#REF!,"AAAAAD+fMng=")</f>
        <v>#REF!</v>
      </c>
      <c r="DR67" t="e">
        <f>AND(#REF!,"AAAAAD+fMnk=")</f>
        <v>#REF!</v>
      </c>
      <c r="DS67" t="e">
        <f>AND(#REF!,"AAAAAD+fMno=")</f>
        <v>#REF!</v>
      </c>
      <c r="DT67" t="e">
        <f>AND(#REF!,"AAAAAD+fMns=")</f>
        <v>#REF!</v>
      </c>
      <c r="DU67" t="e">
        <f>AND(#REF!,"AAAAAD+fMnw=")</f>
        <v>#REF!</v>
      </c>
      <c r="DV67" t="e">
        <f>AND(#REF!,"AAAAAD+fMn0=")</f>
        <v>#REF!</v>
      </c>
      <c r="DW67" t="e">
        <f>AND(#REF!,"AAAAAD+fMn4=")</f>
        <v>#REF!</v>
      </c>
      <c r="DX67" t="e">
        <f>AND(#REF!,"AAAAAD+fMn8=")</f>
        <v>#REF!</v>
      </c>
      <c r="DY67" t="e">
        <f>AND(#REF!,"AAAAAD+fMoA=")</f>
        <v>#REF!</v>
      </c>
      <c r="DZ67" t="e">
        <f>AND(#REF!,"AAAAAD+fMoE=")</f>
        <v>#REF!</v>
      </c>
      <c r="EA67" t="e">
        <f>AND(#REF!,"AAAAAD+fMoI=")</f>
        <v>#REF!</v>
      </c>
      <c r="EB67" t="e">
        <f>AND(#REF!,"AAAAAD+fMoM=")</f>
        <v>#REF!</v>
      </c>
      <c r="EC67" t="e">
        <f>AND(#REF!,"AAAAAD+fMoQ=")</f>
        <v>#REF!</v>
      </c>
      <c r="ED67" t="e">
        <f>IF(#REF!,"AAAAAD+fMoU=",0)</f>
        <v>#REF!</v>
      </c>
      <c r="EE67" t="e">
        <f>AND(#REF!,"AAAAAD+fMoY=")</f>
        <v>#REF!</v>
      </c>
      <c r="EF67" t="e">
        <f>AND(#REF!,"AAAAAD+fMoc=")</f>
        <v>#REF!</v>
      </c>
      <c r="EG67" t="e">
        <f>AND(#REF!,"AAAAAD+fMog=")</f>
        <v>#REF!</v>
      </c>
      <c r="EH67" t="e">
        <f>AND(#REF!,"AAAAAD+fMok=")</f>
        <v>#REF!</v>
      </c>
      <c r="EI67" t="e">
        <f>AND(#REF!,"AAAAAD+fMoo=")</f>
        <v>#REF!</v>
      </c>
      <c r="EJ67" t="e">
        <f>AND(#REF!,"AAAAAD+fMos=")</f>
        <v>#REF!</v>
      </c>
      <c r="EK67" t="e">
        <f>AND(#REF!,"AAAAAD+fMow=")</f>
        <v>#REF!</v>
      </c>
      <c r="EL67" t="e">
        <f>AND(#REF!,"AAAAAD+fMo0=")</f>
        <v>#REF!</v>
      </c>
      <c r="EM67" t="e">
        <f>AND(#REF!,"AAAAAD+fMo4=")</f>
        <v>#REF!</v>
      </c>
      <c r="EN67" t="e">
        <f>AND(#REF!,"AAAAAD+fMo8=")</f>
        <v>#REF!</v>
      </c>
      <c r="EO67" t="e">
        <f>AND(#REF!,"AAAAAD+fMpA=")</f>
        <v>#REF!</v>
      </c>
      <c r="EP67" t="e">
        <f>AND(#REF!,"AAAAAD+fMpE=")</f>
        <v>#REF!</v>
      </c>
      <c r="EQ67" t="e">
        <f>AND(#REF!,"AAAAAD+fMpI=")</f>
        <v>#REF!</v>
      </c>
      <c r="ER67" t="e">
        <f>AND(#REF!,"AAAAAD+fMpM=")</f>
        <v>#REF!</v>
      </c>
      <c r="ES67" t="e">
        <f>AND(#REF!,"AAAAAD+fMpQ=")</f>
        <v>#REF!</v>
      </c>
      <c r="ET67" t="e">
        <f>AND(#REF!,"AAAAAD+fMpU=")</f>
        <v>#REF!</v>
      </c>
      <c r="EU67" t="e">
        <f>AND(#REF!,"AAAAAD+fMpY=")</f>
        <v>#REF!</v>
      </c>
      <c r="EV67" t="e">
        <f>AND(#REF!,"AAAAAD+fMpc=")</f>
        <v>#REF!</v>
      </c>
      <c r="EW67" t="e">
        <f>AND(#REF!,"AAAAAD+fMpg=")</f>
        <v>#REF!</v>
      </c>
      <c r="EX67" t="e">
        <f>AND(#REF!,"AAAAAD+fMpk=")</f>
        <v>#REF!</v>
      </c>
      <c r="EY67" t="e">
        <f>AND(#REF!,"AAAAAD+fMpo=")</f>
        <v>#REF!</v>
      </c>
      <c r="EZ67" t="e">
        <f>AND(#REF!,"AAAAAD+fMps=")</f>
        <v>#REF!</v>
      </c>
      <c r="FA67" t="e">
        <f>AND(#REF!,"AAAAAD+fMpw=")</f>
        <v>#REF!</v>
      </c>
      <c r="FB67" t="e">
        <f>AND(#REF!,"AAAAAD+fMp0=")</f>
        <v>#REF!</v>
      </c>
      <c r="FC67" t="e">
        <f>AND(#REF!,"AAAAAD+fMp4=")</f>
        <v>#REF!</v>
      </c>
      <c r="FD67" t="e">
        <f>AND(#REF!,"AAAAAD+fMp8=")</f>
        <v>#REF!</v>
      </c>
      <c r="FE67" t="e">
        <f>AND(#REF!,"AAAAAD+fMqA=")</f>
        <v>#REF!</v>
      </c>
      <c r="FF67" t="e">
        <f>AND(#REF!,"AAAAAD+fMqE=")</f>
        <v>#REF!</v>
      </c>
      <c r="FG67" t="e">
        <f>AND(#REF!,"AAAAAD+fMqI=")</f>
        <v>#REF!</v>
      </c>
      <c r="FH67" t="e">
        <f>AND(#REF!,"AAAAAD+fMqM=")</f>
        <v>#REF!</v>
      </c>
      <c r="FI67" t="e">
        <f>AND(#REF!,"AAAAAD+fMqQ=")</f>
        <v>#REF!</v>
      </c>
      <c r="FJ67" t="e">
        <f>AND(#REF!,"AAAAAD+fMqU=")</f>
        <v>#REF!</v>
      </c>
      <c r="FK67" t="e">
        <f>AND(#REF!,"AAAAAD+fMqY=")</f>
        <v>#REF!</v>
      </c>
      <c r="FL67" t="e">
        <f>AND(#REF!,"AAAAAD+fMqc=")</f>
        <v>#REF!</v>
      </c>
      <c r="FM67" t="e">
        <f>AND(#REF!,"AAAAAD+fMqg=")</f>
        <v>#REF!</v>
      </c>
      <c r="FN67" t="e">
        <f>AND(#REF!,"AAAAAD+fMqk=")</f>
        <v>#REF!</v>
      </c>
      <c r="FO67" t="e">
        <f>AND(#REF!,"AAAAAD+fMqo=")</f>
        <v>#REF!</v>
      </c>
      <c r="FP67" t="e">
        <f>AND(#REF!,"AAAAAD+fMqs=")</f>
        <v>#REF!</v>
      </c>
      <c r="FQ67" t="e">
        <f>AND(#REF!,"AAAAAD+fMqw=")</f>
        <v>#REF!</v>
      </c>
      <c r="FR67" t="e">
        <f>AND(#REF!,"AAAAAD+fMq0=")</f>
        <v>#REF!</v>
      </c>
      <c r="FS67" t="e">
        <f>AND(#REF!,"AAAAAD+fMq4=")</f>
        <v>#REF!</v>
      </c>
      <c r="FT67" t="e">
        <f>AND(#REF!,"AAAAAD+fMq8=")</f>
        <v>#REF!</v>
      </c>
      <c r="FU67" t="e">
        <f>AND(#REF!,"AAAAAD+fMrA=")</f>
        <v>#REF!</v>
      </c>
      <c r="FV67" t="e">
        <f>AND(#REF!,"AAAAAD+fMrE=")</f>
        <v>#REF!</v>
      </c>
      <c r="FW67" t="e">
        <f>AND(#REF!,"AAAAAD+fMrI=")</f>
        <v>#REF!</v>
      </c>
      <c r="FX67" t="e">
        <f>AND(#REF!,"AAAAAD+fMrM=")</f>
        <v>#REF!</v>
      </c>
      <c r="FY67" t="e">
        <f>AND(#REF!,"AAAAAD+fMrQ=")</f>
        <v>#REF!</v>
      </c>
      <c r="FZ67" t="e">
        <f>AND(#REF!,"AAAAAD+fMrU=")</f>
        <v>#REF!</v>
      </c>
      <c r="GA67" t="e">
        <f>AND(#REF!,"AAAAAD+fMrY=")</f>
        <v>#REF!</v>
      </c>
      <c r="GB67" t="e">
        <f>AND(#REF!,"AAAAAD+fMrc=")</f>
        <v>#REF!</v>
      </c>
      <c r="GC67" t="e">
        <f>AND(#REF!,"AAAAAD+fMrg=")</f>
        <v>#REF!</v>
      </c>
      <c r="GD67" t="e">
        <f>AND(#REF!,"AAAAAD+fMrk=")</f>
        <v>#REF!</v>
      </c>
      <c r="GE67" t="e">
        <f>AND(#REF!,"AAAAAD+fMro=")</f>
        <v>#REF!</v>
      </c>
      <c r="GF67" t="e">
        <f>AND(#REF!,"AAAAAD+fMrs=")</f>
        <v>#REF!</v>
      </c>
      <c r="GG67" t="e">
        <f>IF(#REF!,"AAAAAD+fMrw=",0)</f>
        <v>#REF!</v>
      </c>
      <c r="GH67" t="e">
        <f>AND(#REF!,"AAAAAD+fMr0=")</f>
        <v>#REF!</v>
      </c>
      <c r="GI67" t="e">
        <f>AND(#REF!,"AAAAAD+fMr4=")</f>
        <v>#REF!</v>
      </c>
      <c r="GJ67" t="e">
        <f>AND(#REF!,"AAAAAD+fMr8=")</f>
        <v>#REF!</v>
      </c>
      <c r="GK67" t="e">
        <f>AND(#REF!,"AAAAAD+fMsA=")</f>
        <v>#REF!</v>
      </c>
      <c r="GL67" t="e">
        <f>AND(#REF!,"AAAAAD+fMsE=")</f>
        <v>#REF!</v>
      </c>
      <c r="GM67" t="e">
        <f>AND(#REF!,"AAAAAD+fMsI=")</f>
        <v>#REF!</v>
      </c>
      <c r="GN67" t="e">
        <f>AND(#REF!,"AAAAAD+fMsM=")</f>
        <v>#REF!</v>
      </c>
      <c r="GO67" t="e">
        <f>AND(#REF!,"AAAAAD+fMsQ=")</f>
        <v>#REF!</v>
      </c>
      <c r="GP67" t="e">
        <f>AND(#REF!,"AAAAAD+fMsU=")</f>
        <v>#REF!</v>
      </c>
      <c r="GQ67" t="e">
        <f>AND(#REF!,"AAAAAD+fMsY=")</f>
        <v>#REF!</v>
      </c>
      <c r="GR67" t="e">
        <f>AND(#REF!,"AAAAAD+fMsc=")</f>
        <v>#REF!</v>
      </c>
      <c r="GS67" t="e">
        <f>AND(#REF!,"AAAAAD+fMsg=")</f>
        <v>#REF!</v>
      </c>
      <c r="GT67" t="e">
        <f>AND(#REF!,"AAAAAD+fMsk=")</f>
        <v>#REF!</v>
      </c>
      <c r="GU67" t="e">
        <f>AND(#REF!,"AAAAAD+fMso=")</f>
        <v>#REF!</v>
      </c>
      <c r="GV67" t="e">
        <f>AND(#REF!,"AAAAAD+fMss=")</f>
        <v>#REF!</v>
      </c>
      <c r="GW67" t="e">
        <f>AND(#REF!,"AAAAAD+fMsw=")</f>
        <v>#REF!</v>
      </c>
      <c r="GX67" t="e">
        <f>AND(#REF!,"AAAAAD+fMs0=")</f>
        <v>#REF!</v>
      </c>
      <c r="GY67" t="e">
        <f>AND(#REF!,"AAAAAD+fMs4=")</f>
        <v>#REF!</v>
      </c>
      <c r="GZ67" t="e">
        <f>AND(#REF!,"AAAAAD+fMs8=")</f>
        <v>#REF!</v>
      </c>
      <c r="HA67" t="e">
        <f>AND(#REF!,"AAAAAD+fMtA=")</f>
        <v>#REF!</v>
      </c>
      <c r="HB67" t="e">
        <f>AND(#REF!,"AAAAAD+fMtE=")</f>
        <v>#REF!</v>
      </c>
      <c r="HC67" t="e">
        <f>AND(#REF!,"AAAAAD+fMtI=")</f>
        <v>#REF!</v>
      </c>
      <c r="HD67" t="e">
        <f>AND(#REF!,"AAAAAD+fMtM=")</f>
        <v>#REF!</v>
      </c>
      <c r="HE67" t="e">
        <f>AND(#REF!,"AAAAAD+fMtQ=")</f>
        <v>#REF!</v>
      </c>
      <c r="HF67" t="e">
        <f>AND(#REF!,"AAAAAD+fMtU=")</f>
        <v>#REF!</v>
      </c>
      <c r="HG67" t="e">
        <f>AND(#REF!,"AAAAAD+fMtY=")</f>
        <v>#REF!</v>
      </c>
      <c r="HH67" t="e">
        <f>AND(#REF!,"AAAAAD+fMtc=")</f>
        <v>#REF!</v>
      </c>
      <c r="HI67" t="e">
        <f>AND(#REF!,"AAAAAD+fMtg=")</f>
        <v>#REF!</v>
      </c>
      <c r="HJ67" t="e">
        <f>AND(#REF!,"AAAAAD+fMtk=")</f>
        <v>#REF!</v>
      </c>
      <c r="HK67" t="e">
        <f>AND(#REF!,"AAAAAD+fMto=")</f>
        <v>#REF!</v>
      </c>
      <c r="HL67" t="e">
        <f>AND(#REF!,"AAAAAD+fMts=")</f>
        <v>#REF!</v>
      </c>
      <c r="HM67" t="e">
        <f>AND(#REF!,"AAAAAD+fMtw=")</f>
        <v>#REF!</v>
      </c>
      <c r="HN67" t="e">
        <f>AND(#REF!,"AAAAAD+fMt0=")</f>
        <v>#REF!</v>
      </c>
      <c r="HO67" t="e">
        <f>AND(#REF!,"AAAAAD+fMt4=")</f>
        <v>#REF!</v>
      </c>
      <c r="HP67" t="e">
        <f>AND(#REF!,"AAAAAD+fMt8=")</f>
        <v>#REF!</v>
      </c>
      <c r="HQ67" t="e">
        <f>AND(#REF!,"AAAAAD+fMuA=")</f>
        <v>#REF!</v>
      </c>
      <c r="HR67" t="e">
        <f>AND(#REF!,"AAAAAD+fMuE=")</f>
        <v>#REF!</v>
      </c>
      <c r="HS67" t="e">
        <f>AND(#REF!,"AAAAAD+fMuI=")</f>
        <v>#REF!</v>
      </c>
      <c r="HT67" t="e">
        <f>AND(#REF!,"AAAAAD+fMuM=")</f>
        <v>#REF!</v>
      </c>
      <c r="HU67" t="e">
        <f>AND(#REF!,"AAAAAD+fMuQ=")</f>
        <v>#REF!</v>
      </c>
      <c r="HV67" t="e">
        <f>AND(#REF!,"AAAAAD+fMuU=")</f>
        <v>#REF!</v>
      </c>
      <c r="HW67" t="e">
        <f>AND(#REF!,"AAAAAD+fMuY=")</f>
        <v>#REF!</v>
      </c>
      <c r="HX67" t="e">
        <f>AND(#REF!,"AAAAAD+fMuc=")</f>
        <v>#REF!</v>
      </c>
      <c r="HY67" t="e">
        <f>AND(#REF!,"AAAAAD+fMug=")</f>
        <v>#REF!</v>
      </c>
      <c r="HZ67" t="e">
        <f>AND(#REF!,"AAAAAD+fMuk=")</f>
        <v>#REF!</v>
      </c>
      <c r="IA67" t="e">
        <f>AND(#REF!,"AAAAAD+fMuo=")</f>
        <v>#REF!</v>
      </c>
      <c r="IB67" t="e">
        <f>AND(#REF!,"AAAAAD+fMus=")</f>
        <v>#REF!</v>
      </c>
      <c r="IC67" t="e">
        <f>AND(#REF!,"AAAAAD+fMuw=")</f>
        <v>#REF!</v>
      </c>
      <c r="ID67" t="e">
        <f>AND(#REF!,"AAAAAD+fMu0=")</f>
        <v>#REF!</v>
      </c>
      <c r="IE67" t="e">
        <f>AND(#REF!,"AAAAAD+fMu4=")</f>
        <v>#REF!</v>
      </c>
      <c r="IF67" t="e">
        <f>AND(#REF!,"AAAAAD+fMu8=")</f>
        <v>#REF!</v>
      </c>
      <c r="IG67" t="e">
        <f>AND(#REF!,"AAAAAD+fMvA=")</f>
        <v>#REF!</v>
      </c>
      <c r="IH67" t="e">
        <f>AND(#REF!,"AAAAAD+fMvE=")</f>
        <v>#REF!</v>
      </c>
      <c r="II67" t="e">
        <f>AND(#REF!,"AAAAAD+fMvI=")</f>
        <v>#REF!</v>
      </c>
      <c r="IJ67" t="e">
        <f>IF(#REF!,"AAAAAD+fMvM=",0)</f>
        <v>#REF!</v>
      </c>
      <c r="IK67" t="e">
        <f>AND(#REF!,"AAAAAD+fMvQ=")</f>
        <v>#REF!</v>
      </c>
      <c r="IL67" t="e">
        <f>AND(#REF!,"AAAAAD+fMvU=")</f>
        <v>#REF!</v>
      </c>
      <c r="IM67" t="e">
        <f>AND(#REF!,"AAAAAD+fMvY=")</f>
        <v>#REF!</v>
      </c>
      <c r="IN67" t="e">
        <f>AND(#REF!,"AAAAAD+fMvc=")</f>
        <v>#REF!</v>
      </c>
      <c r="IO67" t="e">
        <f>AND(#REF!,"AAAAAD+fMvg=")</f>
        <v>#REF!</v>
      </c>
      <c r="IP67" t="e">
        <f>AND(#REF!,"AAAAAD+fMvk=")</f>
        <v>#REF!</v>
      </c>
      <c r="IQ67" t="e">
        <f>AND(#REF!,"AAAAAD+fMvo=")</f>
        <v>#REF!</v>
      </c>
      <c r="IR67" t="e">
        <f>AND(#REF!,"AAAAAD+fMvs=")</f>
        <v>#REF!</v>
      </c>
      <c r="IS67" t="e">
        <f>AND(#REF!,"AAAAAD+fMvw=")</f>
        <v>#REF!</v>
      </c>
      <c r="IT67" t="e">
        <f>AND(#REF!,"AAAAAD+fMv0=")</f>
        <v>#REF!</v>
      </c>
      <c r="IU67" t="e">
        <f>AND(#REF!,"AAAAAD+fMv4=")</f>
        <v>#REF!</v>
      </c>
      <c r="IV67" t="e">
        <f>AND(#REF!,"AAAAAD+fMv8=")</f>
        <v>#REF!</v>
      </c>
    </row>
    <row r="68" spans="1:256" x14ac:dyDescent="0.25">
      <c r="A68" t="e">
        <f>AND(#REF!,"AAAAAHv1rQA=")</f>
        <v>#REF!</v>
      </c>
      <c r="B68" t="e">
        <f>AND(#REF!,"AAAAAHv1rQE=")</f>
        <v>#REF!</v>
      </c>
      <c r="C68" t="e">
        <f>AND(#REF!,"AAAAAHv1rQI=")</f>
        <v>#REF!</v>
      </c>
      <c r="D68" t="e">
        <f>AND(#REF!,"AAAAAHv1rQM=")</f>
        <v>#REF!</v>
      </c>
      <c r="E68" t="e">
        <f>AND(#REF!,"AAAAAHv1rQQ=")</f>
        <v>#REF!</v>
      </c>
      <c r="F68" t="e">
        <f>AND(#REF!,"AAAAAHv1rQU=")</f>
        <v>#REF!</v>
      </c>
      <c r="G68" t="e">
        <f>AND(#REF!,"AAAAAHv1rQY=")</f>
        <v>#REF!</v>
      </c>
      <c r="H68" t="e">
        <f>AND(#REF!,"AAAAAHv1rQc=")</f>
        <v>#REF!</v>
      </c>
      <c r="I68" t="e">
        <f>AND(#REF!,"AAAAAHv1rQg=")</f>
        <v>#REF!</v>
      </c>
      <c r="J68" t="e">
        <f>AND(#REF!,"AAAAAHv1rQk=")</f>
        <v>#REF!</v>
      </c>
      <c r="K68" t="e">
        <f>AND(#REF!,"AAAAAHv1rQo=")</f>
        <v>#REF!</v>
      </c>
      <c r="L68" t="e">
        <f>AND(#REF!,"AAAAAHv1rQs=")</f>
        <v>#REF!</v>
      </c>
      <c r="M68" t="e">
        <f>AND(#REF!,"AAAAAHv1rQw=")</f>
        <v>#REF!</v>
      </c>
      <c r="N68" t="e">
        <f>AND(#REF!,"AAAAAHv1rQ0=")</f>
        <v>#REF!</v>
      </c>
      <c r="O68" t="e">
        <f>AND(#REF!,"AAAAAHv1rQ4=")</f>
        <v>#REF!</v>
      </c>
      <c r="P68" t="e">
        <f>AND(#REF!,"AAAAAHv1rQ8=")</f>
        <v>#REF!</v>
      </c>
      <c r="Q68" t="e">
        <f>AND(#REF!,"AAAAAHv1rRA=")</f>
        <v>#REF!</v>
      </c>
      <c r="R68" t="e">
        <f>AND(#REF!,"AAAAAHv1rRE=")</f>
        <v>#REF!</v>
      </c>
      <c r="S68" t="e">
        <f>AND(#REF!,"AAAAAHv1rRI=")</f>
        <v>#REF!</v>
      </c>
      <c r="T68" t="e">
        <f>AND(#REF!,"AAAAAHv1rRM=")</f>
        <v>#REF!</v>
      </c>
      <c r="U68" t="e">
        <f>AND(#REF!,"AAAAAHv1rRQ=")</f>
        <v>#REF!</v>
      </c>
      <c r="V68" t="e">
        <f>AND(#REF!,"AAAAAHv1rRU=")</f>
        <v>#REF!</v>
      </c>
      <c r="W68" t="e">
        <f>AND(#REF!,"AAAAAHv1rRY=")</f>
        <v>#REF!</v>
      </c>
      <c r="X68" t="e">
        <f>AND(#REF!,"AAAAAHv1rRc=")</f>
        <v>#REF!</v>
      </c>
      <c r="Y68" t="e">
        <f>AND(#REF!,"AAAAAHv1rRg=")</f>
        <v>#REF!</v>
      </c>
      <c r="Z68" t="e">
        <f>AND(#REF!,"AAAAAHv1rRk=")</f>
        <v>#REF!</v>
      </c>
      <c r="AA68" t="e">
        <f>AND(#REF!,"AAAAAHv1rRo=")</f>
        <v>#REF!</v>
      </c>
      <c r="AB68" t="e">
        <f>AND(#REF!,"AAAAAHv1rRs=")</f>
        <v>#REF!</v>
      </c>
      <c r="AC68" t="e">
        <f>AND(#REF!,"AAAAAHv1rRw=")</f>
        <v>#REF!</v>
      </c>
      <c r="AD68" t="e">
        <f>AND(#REF!,"AAAAAHv1rR0=")</f>
        <v>#REF!</v>
      </c>
      <c r="AE68" t="e">
        <f>AND(#REF!,"AAAAAHv1rR4=")</f>
        <v>#REF!</v>
      </c>
      <c r="AF68" t="e">
        <f>AND(#REF!,"AAAAAHv1rR8=")</f>
        <v>#REF!</v>
      </c>
      <c r="AG68" t="e">
        <f>AND(#REF!,"AAAAAHv1rSA=")</f>
        <v>#REF!</v>
      </c>
      <c r="AH68" t="e">
        <f>AND(#REF!,"AAAAAHv1rSE=")</f>
        <v>#REF!</v>
      </c>
      <c r="AI68" t="e">
        <f>AND(#REF!,"AAAAAHv1rSI=")</f>
        <v>#REF!</v>
      </c>
      <c r="AJ68" t="e">
        <f>AND(#REF!,"AAAAAHv1rSM=")</f>
        <v>#REF!</v>
      </c>
      <c r="AK68" t="e">
        <f>AND(#REF!,"AAAAAHv1rSQ=")</f>
        <v>#REF!</v>
      </c>
      <c r="AL68" t="e">
        <f>AND(#REF!,"AAAAAHv1rSU=")</f>
        <v>#REF!</v>
      </c>
      <c r="AM68" t="e">
        <f>AND(#REF!,"AAAAAHv1rSY=")</f>
        <v>#REF!</v>
      </c>
      <c r="AN68" t="e">
        <f>AND(#REF!,"AAAAAHv1rSc=")</f>
        <v>#REF!</v>
      </c>
      <c r="AO68" t="e">
        <f>AND(#REF!,"AAAAAHv1rSg=")</f>
        <v>#REF!</v>
      </c>
      <c r="AP68" t="e">
        <f>AND(#REF!,"AAAAAHv1rSk=")</f>
        <v>#REF!</v>
      </c>
      <c r="AQ68" t="e">
        <f>IF(#REF!,"AAAAAHv1rSo=",0)</f>
        <v>#REF!</v>
      </c>
      <c r="AR68" t="e">
        <f>AND(#REF!,"AAAAAHv1rSs=")</f>
        <v>#REF!</v>
      </c>
      <c r="AS68" t="e">
        <f>AND(#REF!,"AAAAAHv1rSw=")</f>
        <v>#REF!</v>
      </c>
      <c r="AT68" t="e">
        <f>AND(#REF!,"AAAAAHv1rS0=")</f>
        <v>#REF!</v>
      </c>
      <c r="AU68" t="e">
        <f>AND(#REF!,"AAAAAHv1rS4=")</f>
        <v>#REF!</v>
      </c>
      <c r="AV68" t="e">
        <f>AND(#REF!,"AAAAAHv1rS8=")</f>
        <v>#REF!</v>
      </c>
      <c r="AW68" t="e">
        <f>AND(#REF!,"AAAAAHv1rTA=")</f>
        <v>#REF!</v>
      </c>
      <c r="AX68" t="e">
        <f>AND(#REF!,"AAAAAHv1rTE=")</f>
        <v>#REF!</v>
      </c>
      <c r="AY68" t="e">
        <f>AND(#REF!,"AAAAAHv1rTI=")</f>
        <v>#REF!</v>
      </c>
      <c r="AZ68" t="e">
        <f>AND(#REF!,"AAAAAHv1rTM=")</f>
        <v>#REF!</v>
      </c>
      <c r="BA68" t="e">
        <f>AND(#REF!,"AAAAAHv1rTQ=")</f>
        <v>#REF!</v>
      </c>
      <c r="BB68" t="e">
        <f>AND(#REF!,"AAAAAHv1rTU=")</f>
        <v>#REF!</v>
      </c>
      <c r="BC68" t="e">
        <f>AND(#REF!,"AAAAAHv1rTY=")</f>
        <v>#REF!</v>
      </c>
      <c r="BD68" t="e">
        <f>AND(#REF!,"AAAAAHv1rTc=")</f>
        <v>#REF!</v>
      </c>
      <c r="BE68" t="e">
        <f>AND(#REF!,"AAAAAHv1rTg=")</f>
        <v>#REF!</v>
      </c>
      <c r="BF68" t="e">
        <f>AND(#REF!,"AAAAAHv1rTk=")</f>
        <v>#REF!</v>
      </c>
      <c r="BG68" t="e">
        <f>AND(#REF!,"AAAAAHv1rTo=")</f>
        <v>#REF!</v>
      </c>
      <c r="BH68" t="e">
        <f>AND(#REF!,"AAAAAHv1rTs=")</f>
        <v>#REF!</v>
      </c>
      <c r="BI68" t="e">
        <f>AND(#REF!,"AAAAAHv1rTw=")</f>
        <v>#REF!</v>
      </c>
      <c r="BJ68" t="e">
        <f>AND(#REF!,"AAAAAHv1rT0=")</f>
        <v>#REF!</v>
      </c>
      <c r="BK68" t="e">
        <f>AND(#REF!,"AAAAAHv1rT4=")</f>
        <v>#REF!</v>
      </c>
      <c r="BL68" t="e">
        <f>AND(#REF!,"AAAAAHv1rT8=")</f>
        <v>#REF!</v>
      </c>
      <c r="BM68" t="e">
        <f>AND(#REF!,"AAAAAHv1rUA=")</f>
        <v>#REF!</v>
      </c>
      <c r="BN68" t="e">
        <f>AND(#REF!,"AAAAAHv1rUE=")</f>
        <v>#REF!</v>
      </c>
      <c r="BO68" t="e">
        <f>AND(#REF!,"AAAAAHv1rUI=")</f>
        <v>#REF!</v>
      </c>
      <c r="BP68" t="e">
        <f>AND(#REF!,"AAAAAHv1rUM=")</f>
        <v>#REF!</v>
      </c>
      <c r="BQ68" t="e">
        <f>AND(#REF!,"AAAAAHv1rUQ=")</f>
        <v>#REF!</v>
      </c>
      <c r="BR68" t="e">
        <f>AND(#REF!,"AAAAAHv1rUU=")</f>
        <v>#REF!</v>
      </c>
      <c r="BS68" t="e">
        <f>AND(#REF!,"AAAAAHv1rUY=")</f>
        <v>#REF!</v>
      </c>
      <c r="BT68" t="e">
        <f>AND(#REF!,"AAAAAHv1rUc=")</f>
        <v>#REF!</v>
      </c>
      <c r="BU68" t="e">
        <f>AND(#REF!,"AAAAAHv1rUg=")</f>
        <v>#REF!</v>
      </c>
      <c r="BV68" t="e">
        <f>AND(#REF!,"AAAAAHv1rUk=")</f>
        <v>#REF!</v>
      </c>
      <c r="BW68" t="e">
        <f>AND(#REF!,"AAAAAHv1rUo=")</f>
        <v>#REF!</v>
      </c>
      <c r="BX68" t="e">
        <f>AND(#REF!,"AAAAAHv1rUs=")</f>
        <v>#REF!</v>
      </c>
      <c r="BY68" t="e">
        <f>AND(#REF!,"AAAAAHv1rUw=")</f>
        <v>#REF!</v>
      </c>
      <c r="BZ68" t="e">
        <f>AND(#REF!,"AAAAAHv1rU0=")</f>
        <v>#REF!</v>
      </c>
      <c r="CA68" t="e">
        <f>AND(#REF!,"AAAAAHv1rU4=")</f>
        <v>#REF!</v>
      </c>
      <c r="CB68" t="e">
        <f>AND(#REF!,"AAAAAHv1rU8=")</f>
        <v>#REF!</v>
      </c>
      <c r="CC68" t="e">
        <f>AND(#REF!,"AAAAAHv1rVA=")</f>
        <v>#REF!</v>
      </c>
      <c r="CD68" t="e">
        <f>AND(#REF!,"AAAAAHv1rVE=")</f>
        <v>#REF!</v>
      </c>
      <c r="CE68" t="e">
        <f>AND(#REF!,"AAAAAHv1rVI=")</f>
        <v>#REF!</v>
      </c>
      <c r="CF68" t="e">
        <f>AND(#REF!,"AAAAAHv1rVM=")</f>
        <v>#REF!</v>
      </c>
      <c r="CG68" t="e">
        <f>AND(#REF!,"AAAAAHv1rVQ=")</f>
        <v>#REF!</v>
      </c>
      <c r="CH68" t="e">
        <f>AND(#REF!,"AAAAAHv1rVU=")</f>
        <v>#REF!</v>
      </c>
      <c r="CI68" t="e">
        <f>AND(#REF!,"AAAAAHv1rVY=")</f>
        <v>#REF!</v>
      </c>
      <c r="CJ68" t="e">
        <f>AND(#REF!,"AAAAAHv1rVc=")</f>
        <v>#REF!</v>
      </c>
      <c r="CK68" t="e">
        <f>AND(#REF!,"AAAAAHv1rVg=")</f>
        <v>#REF!</v>
      </c>
      <c r="CL68" t="e">
        <f>AND(#REF!,"AAAAAHv1rVk=")</f>
        <v>#REF!</v>
      </c>
      <c r="CM68" t="e">
        <f>AND(#REF!,"AAAAAHv1rVo=")</f>
        <v>#REF!</v>
      </c>
      <c r="CN68" t="e">
        <f>AND(#REF!,"AAAAAHv1rVs=")</f>
        <v>#REF!</v>
      </c>
      <c r="CO68" t="e">
        <f>AND(#REF!,"AAAAAHv1rVw=")</f>
        <v>#REF!</v>
      </c>
      <c r="CP68" t="e">
        <f>AND(#REF!,"AAAAAHv1rV0=")</f>
        <v>#REF!</v>
      </c>
      <c r="CQ68" t="e">
        <f>AND(#REF!,"AAAAAHv1rV4=")</f>
        <v>#REF!</v>
      </c>
      <c r="CR68" t="e">
        <f>AND(#REF!,"AAAAAHv1rV8=")</f>
        <v>#REF!</v>
      </c>
      <c r="CS68" t="e">
        <f>AND(#REF!,"AAAAAHv1rWA=")</f>
        <v>#REF!</v>
      </c>
      <c r="CT68" t="e">
        <f>IF(#REF!,"AAAAAHv1rWE=",0)</f>
        <v>#REF!</v>
      </c>
      <c r="CU68" t="e">
        <f>AND(#REF!,"AAAAAHv1rWI=")</f>
        <v>#REF!</v>
      </c>
      <c r="CV68" t="e">
        <f>AND(#REF!,"AAAAAHv1rWM=")</f>
        <v>#REF!</v>
      </c>
      <c r="CW68" t="e">
        <f>AND(#REF!,"AAAAAHv1rWQ=")</f>
        <v>#REF!</v>
      </c>
      <c r="CX68" t="e">
        <f>AND(#REF!,"AAAAAHv1rWU=")</f>
        <v>#REF!</v>
      </c>
      <c r="CY68" t="e">
        <f>AND(#REF!,"AAAAAHv1rWY=")</f>
        <v>#REF!</v>
      </c>
      <c r="CZ68" t="e">
        <f>AND(#REF!,"AAAAAHv1rWc=")</f>
        <v>#REF!</v>
      </c>
      <c r="DA68" t="e">
        <f>AND(#REF!,"AAAAAHv1rWg=")</f>
        <v>#REF!</v>
      </c>
      <c r="DB68" t="e">
        <f>AND(#REF!,"AAAAAHv1rWk=")</f>
        <v>#REF!</v>
      </c>
      <c r="DC68" t="e">
        <f>AND(#REF!,"AAAAAHv1rWo=")</f>
        <v>#REF!</v>
      </c>
      <c r="DD68" t="e">
        <f>AND(#REF!,"AAAAAHv1rWs=")</f>
        <v>#REF!</v>
      </c>
      <c r="DE68" t="e">
        <f>AND(#REF!,"AAAAAHv1rWw=")</f>
        <v>#REF!</v>
      </c>
      <c r="DF68" t="e">
        <f>AND(#REF!,"AAAAAHv1rW0=")</f>
        <v>#REF!</v>
      </c>
      <c r="DG68" t="e">
        <f>AND(#REF!,"AAAAAHv1rW4=")</f>
        <v>#REF!</v>
      </c>
      <c r="DH68" t="e">
        <f>AND(#REF!,"AAAAAHv1rW8=")</f>
        <v>#REF!</v>
      </c>
      <c r="DI68" t="e">
        <f>AND(#REF!,"AAAAAHv1rXA=")</f>
        <v>#REF!</v>
      </c>
      <c r="DJ68" t="e">
        <f>AND(#REF!,"AAAAAHv1rXE=")</f>
        <v>#REF!</v>
      </c>
      <c r="DK68" t="e">
        <f>AND(#REF!,"AAAAAHv1rXI=")</f>
        <v>#REF!</v>
      </c>
      <c r="DL68" t="e">
        <f>AND(#REF!,"AAAAAHv1rXM=")</f>
        <v>#REF!</v>
      </c>
      <c r="DM68" t="e">
        <f>AND(#REF!,"AAAAAHv1rXQ=")</f>
        <v>#REF!</v>
      </c>
      <c r="DN68" t="e">
        <f>AND(#REF!,"AAAAAHv1rXU=")</f>
        <v>#REF!</v>
      </c>
      <c r="DO68" t="e">
        <f>AND(#REF!,"AAAAAHv1rXY=")</f>
        <v>#REF!</v>
      </c>
      <c r="DP68" t="e">
        <f>AND(#REF!,"AAAAAHv1rXc=")</f>
        <v>#REF!</v>
      </c>
      <c r="DQ68" t="e">
        <f>AND(#REF!,"AAAAAHv1rXg=")</f>
        <v>#REF!</v>
      </c>
      <c r="DR68" t="e">
        <f>AND(#REF!,"AAAAAHv1rXk=")</f>
        <v>#REF!</v>
      </c>
      <c r="DS68" t="e">
        <f>AND(#REF!,"AAAAAHv1rXo=")</f>
        <v>#REF!</v>
      </c>
      <c r="DT68" t="e">
        <f>AND(#REF!,"AAAAAHv1rXs=")</f>
        <v>#REF!</v>
      </c>
      <c r="DU68" t="e">
        <f>AND(#REF!,"AAAAAHv1rXw=")</f>
        <v>#REF!</v>
      </c>
      <c r="DV68" t="e">
        <f>AND(#REF!,"AAAAAHv1rX0=")</f>
        <v>#REF!</v>
      </c>
      <c r="DW68" t="e">
        <f>AND(#REF!,"AAAAAHv1rX4=")</f>
        <v>#REF!</v>
      </c>
      <c r="DX68" t="e">
        <f>AND(#REF!,"AAAAAHv1rX8=")</f>
        <v>#REF!</v>
      </c>
      <c r="DY68" t="e">
        <f>AND(#REF!,"AAAAAHv1rYA=")</f>
        <v>#REF!</v>
      </c>
      <c r="DZ68" t="e">
        <f>AND(#REF!,"AAAAAHv1rYE=")</f>
        <v>#REF!</v>
      </c>
      <c r="EA68" t="e">
        <f>AND(#REF!,"AAAAAHv1rYI=")</f>
        <v>#REF!</v>
      </c>
      <c r="EB68" t="e">
        <f>AND(#REF!,"AAAAAHv1rYM=")</f>
        <v>#REF!</v>
      </c>
      <c r="EC68" t="e">
        <f>AND(#REF!,"AAAAAHv1rYQ=")</f>
        <v>#REF!</v>
      </c>
      <c r="ED68" t="e">
        <f>AND(#REF!,"AAAAAHv1rYU=")</f>
        <v>#REF!</v>
      </c>
      <c r="EE68" t="e">
        <f>AND(#REF!,"AAAAAHv1rYY=")</f>
        <v>#REF!</v>
      </c>
      <c r="EF68" t="e">
        <f>AND(#REF!,"AAAAAHv1rYc=")</f>
        <v>#REF!</v>
      </c>
      <c r="EG68" t="e">
        <f>AND(#REF!,"AAAAAHv1rYg=")</f>
        <v>#REF!</v>
      </c>
      <c r="EH68" t="e">
        <f>AND(#REF!,"AAAAAHv1rYk=")</f>
        <v>#REF!</v>
      </c>
      <c r="EI68" t="e">
        <f>AND(#REF!,"AAAAAHv1rYo=")</f>
        <v>#REF!</v>
      </c>
      <c r="EJ68" t="e">
        <f>AND(#REF!,"AAAAAHv1rYs=")</f>
        <v>#REF!</v>
      </c>
      <c r="EK68" t="e">
        <f>AND(#REF!,"AAAAAHv1rYw=")</f>
        <v>#REF!</v>
      </c>
      <c r="EL68" t="e">
        <f>AND(#REF!,"AAAAAHv1rY0=")</f>
        <v>#REF!</v>
      </c>
      <c r="EM68" t="e">
        <f>AND(#REF!,"AAAAAHv1rY4=")</f>
        <v>#REF!</v>
      </c>
      <c r="EN68" t="e">
        <f>AND(#REF!,"AAAAAHv1rY8=")</f>
        <v>#REF!</v>
      </c>
      <c r="EO68" t="e">
        <f>AND(#REF!,"AAAAAHv1rZA=")</f>
        <v>#REF!</v>
      </c>
      <c r="EP68" t="e">
        <f>AND(#REF!,"AAAAAHv1rZE=")</f>
        <v>#REF!</v>
      </c>
      <c r="EQ68" t="e">
        <f>AND(#REF!,"AAAAAHv1rZI=")</f>
        <v>#REF!</v>
      </c>
      <c r="ER68" t="e">
        <f>AND(#REF!,"AAAAAHv1rZM=")</f>
        <v>#REF!</v>
      </c>
      <c r="ES68" t="e">
        <f>AND(#REF!,"AAAAAHv1rZQ=")</f>
        <v>#REF!</v>
      </c>
      <c r="ET68" t="e">
        <f>AND(#REF!,"AAAAAHv1rZU=")</f>
        <v>#REF!</v>
      </c>
      <c r="EU68" t="e">
        <f>AND(#REF!,"AAAAAHv1rZY=")</f>
        <v>#REF!</v>
      </c>
      <c r="EV68" t="e">
        <f>AND(#REF!,"AAAAAHv1rZc=")</f>
        <v>#REF!</v>
      </c>
      <c r="EW68" t="e">
        <f>IF(#REF!,"AAAAAHv1rZg=",0)</f>
        <v>#REF!</v>
      </c>
      <c r="EX68" t="e">
        <f>AND(#REF!,"AAAAAHv1rZk=")</f>
        <v>#REF!</v>
      </c>
      <c r="EY68" t="e">
        <f>AND(#REF!,"AAAAAHv1rZo=")</f>
        <v>#REF!</v>
      </c>
      <c r="EZ68" t="e">
        <f>AND(#REF!,"AAAAAHv1rZs=")</f>
        <v>#REF!</v>
      </c>
      <c r="FA68" t="e">
        <f>AND(#REF!,"AAAAAHv1rZw=")</f>
        <v>#REF!</v>
      </c>
      <c r="FB68" t="e">
        <f>AND(#REF!,"AAAAAHv1rZ0=")</f>
        <v>#REF!</v>
      </c>
      <c r="FC68" t="e">
        <f>AND(#REF!,"AAAAAHv1rZ4=")</f>
        <v>#REF!</v>
      </c>
      <c r="FD68" t="e">
        <f>AND(#REF!,"AAAAAHv1rZ8=")</f>
        <v>#REF!</v>
      </c>
      <c r="FE68" t="e">
        <f>AND(#REF!,"AAAAAHv1raA=")</f>
        <v>#REF!</v>
      </c>
      <c r="FF68" t="e">
        <f>AND(#REF!,"AAAAAHv1raE=")</f>
        <v>#REF!</v>
      </c>
      <c r="FG68" t="e">
        <f>AND(#REF!,"AAAAAHv1raI=")</f>
        <v>#REF!</v>
      </c>
      <c r="FH68" t="e">
        <f>AND(#REF!,"AAAAAHv1raM=")</f>
        <v>#REF!</v>
      </c>
      <c r="FI68" t="e">
        <f>AND(#REF!,"AAAAAHv1raQ=")</f>
        <v>#REF!</v>
      </c>
      <c r="FJ68" t="e">
        <f>AND(#REF!,"AAAAAHv1raU=")</f>
        <v>#REF!</v>
      </c>
      <c r="FK68" t="e">
        <f>AND(#REF!,"AAAAAHv1raY=")</f>
        <v>#REF!</v>
      </c>
      <c r="FL68" t="e">
        <f>AND(#REF!,"AAAAAHv1rac=")</f>
        <v>#REF!</v>
      </c>
      <c r="FM68" t="e">
        <f>AND(#REF!,"AAAAAHv1rag=")</f>
        <v>#REF!</v>
      </c>
      <c r="FN68" t="e">
        <f>AND(#REF!,"AAAAAHv1rak=")</f>
        <v>#REF!</v>
      </c>
      <c r="FO68" t="e">
        <f>AND(#REF!,"AAAAAHv1rao=")</f>
        <v>#REF!</v>
      </c>
      <c r="FP68" t="e">
        <f>AND(#REF!,"AAAAAHv1ras=")</f>
        <v>#REF!</v>
      </c>
      <c r="FQ68" t="e">
        <f>AND(#REF!,"AAAAAHv1raw=")</f>
        <v>#REF!</v>
      </c>
      <c r="FR68" t="e">
        <f>AND(#REF!,"AAAAAHv1ra0=")</f>
        <v>#REF!</v>
      </c>
      <c r="FS68" t="e">
        <f>AND(#REF!,"AAAAAHv1ra4=")</f>
        <v>#REF!</v>
      </c>
      <c r="FT68" t="e">
        <f>AND(#REF!,"AAAAAHv1ra8=")</f>
        <v>#REF!</v>
      </c>
      <c r="FU68" t="e">
        <f>AND(#REF!,"AAAAAHv1rbA=")</f>
        <v>#REF!</v>
      </c>
      <c r="FV68" t="e">
        <f>AND(#REF!,"AAAAAHv1rbE=")</f>
        <v>#REF!</v>
      </c>
      <c r="FW68" t="e">
        <f>AND(#REF!,"AAAAAHv1rbI=")</f>
        <v>#REF!</v>
      </c>
      <c r="FX68" t="e">
        <f>AND(#REF!,"AAAAAHv1rbM=")</f>
        <v>#REF!</v>
      </c>
      <c r="FY68" t="e">
        <f>AND(#REF!,"AAAAAHv1rbQ=")</f>
        <v>#REF!</v>
      </c>
      <c r="FZ68" t="e">
        <f>AND(#REF!,"AAAAAHv1rbU=")</f>
        <v>#REF!</v>
      </c>
      <c r="GA68" t="e">
        <f>AND(#REF!,"AAAAAHv1rbY=")</f>
        <v>#REF!</v>
      </c>
      <c r="GB68" t="e">
        <f>AND(#REF!,"AAAAAHv1rbc=")</f>
        <v>#REF!</v>
      </c>
      <c r="GC68" t="e">
        <f>AND(#REF!,"AAAAAHv1rbg=")</f>
        <v>#REF!</v>
      </c>
      <c r="GD68" t="e">
        <f>AND(#REF!,"AAAAAHv1rbk=")</f>
        <v>#REF!</v>
      </c>
      <c r="GE68" t="e">
        <f>AND(#REF!,"AAAAAHv1rbo=")</f>
        <v>#REF!</v>
      </c>
      <c r="GF68" t="e">
        <f>AND(#REF!,"AAAAAHv1rbs=")</f>
        <v>#REF!</v>
      </c>
      <c r="GG68" t="e">
        <f>AND(#REF!,"AAAAAHv1rbw=")</f>
        <v>#REF!</v>
      </c>
      <c r="GH68" t="e">
        <f>AND(#REF!,"AAAAAHv1rb0=")</f>
        <v>#REF!</v>
      </c>
      <c r="GI68" t="e">
        <f>AND(#REF!,"AAAAAHv1rb4=")</f>
        <v>#REF!</v>
      </c>
      <c r="GJ68" t="e">
        <f>AND(#REF!,"AAAAAHv1rb8=")</f>
        <v>#REF!</v>
      </c>
      <c r="GK68" t="e">
        <f>AND(#REF!,"AAAAAHv1rcA=")</f>
        <v>#REF!</v>
      </c>
      <c r="GL68" t="e">
        <f>AND(#REF!,"AAAAAHv1rcE=")</f>
        <v>#REF!</v>
      </c>
      <c r="GM68" t="e">
        <f>AND(#REF!,"AAAAAHv1rcI=")</f>
        <v>#REF!</v>
      </c>
      <c r="GN68" t="e">
        <f>AND(#REF!,"AAAAAHv1rcM=")</f>
        <v>#REF!</v>
      </c>
      <c r="GO68" t="e">
        <f>AND(#REF!,"AAAAAHv1rcQ=")</f>
        <v>#REF!</v>
      </c>
      <c r="GP68" t="e">
        <f>AND(#REF!,"AAAAAHv1rcU=")</f>
        <v>#REF!</v>
      </c>
      <c r="GQ68" t="e">
        <f>AND(#REF!,"AAAAAHv1rcY=")</f>
        <v>#REF!</v>
      </c>
      <c r="GR68" t="e">
        <f>AND(#REF!,"AAAAAHv1rcc=")</f>
        <v>#REF!</v>
      </c>
      <c r="GS68" t="e">
        <f>AND(#REF!,"AAAAAHv1rcg=")</f>
        <v>#REF!</v>
      </c>
      <c r="GT68" t="e">
        <f>AND(#REF!,"AAAAAHv1rck=")</f>
        <v>#REF!</v>
      </c>
      <c r="GU68" t="e">
        <f>AND(#REF!,"AAAAAHv1rco=")</f>
        <v>#REF!</v>
      </c>
      <c r="GV68" t="e">
        <f>AND(#REF!,"AAAAAHv1rcs=")</f>
        <v>#REF!</v>
      </c>
      <c r="GW68" t="e">
        <f>AND(#REF!,"AAAAAHv1rcw=")</f>
        <v>#REF!</v>
      </c>
      <c r="GX68" t="e">
        <f>AND(#REF!,"AAAAAHv1rc0=")</f>
        <v>#REF!</v>
      </c>
      <c r="GY68" t="e">
        <f>AND(#REF!,"AAAAAHv1rc4=")</f>
        <v>#REF!</v>
      </c>
      <c r="GZ68" t="e">
        <f>IF(#REF!,"AAAAAHv1rc8=",0)</f>
        <v>#REF!</v>
      </c>
      <c r="HA68" t="e">
        <f>AND(#REF!,"AAAAAHv1rdA=")</f>
        <v>#REF!</v>
      </c>
      <c r="HB68" t="e">
        <f>AND(#REF!,"AAAAAHv1rdE=")</f>
        <v>#REF!</v>
      </c>
      <c r="HC68" t="e">
        <f>AND(#REF!,"AAAAAHv1rdI=")</f>
        <v>#REF!</v>
      </c>
      <c r="HD68" t="e">
        <f>AND(#REF!,"AAAAAHv1rdM=")</f>
        <v>#REF!</v>
      </c>
      <c r="HE68" t="e">
        <f>AND(#REF!,"AAAAAHv1rdQ=")</f>
        <v>#REF!</v>
      </c>
      <c r="HF68" t="e">
        <f>AND(#REF!,"AAAAAHv1rdU=")</f>
        <v>#REF!</v>
      </c>
      <c r="HG68" t="e">
        <f>AND(#REF!,"AAAAAHv1rdY=")</f>
        <v>#REF!</v>
      </c>
      <c r="HH68" t="e">
        <f>AND(#REF!,"AAAAAHv1rdc=")</f>
        <v>#REF!</v>
      </c>
      <c r="HI68" t="e">
        <f>AND(#REF!,"AAAAAHv1rdg=")</f>
        <v>#REF!</v>
      </c>
      <c r="HJ68" t="e">
        <f>AND(#REF!,"AAAAAHv1rdk=")</f>
        <v>#REF!</v>
      </c>
      <c r="HK68" t="e">
        <f>AND(#REF!,"AAAAAHv1rdo=")</f>
        <v>#REF!</v>
      </c>
      <c r="HL68" t="e">
        <f>AND(#REF!,"AAAAAHv1rds=")</f>
        <v>#REF!</v>
      </c>
      <c r="HM68" t="e">
        <f>AND(#REF!,"AAAAAHv1rdw=")</f>
        <v>#REF!</v>
      </c>
      <c r="HN68" t="e">
        <f>AND(#REF!,"AAAAAHv1rd0=")</f>
        <v>#REF!</v>
      </c>
      <c r="HO68" t="e">
        <f>AND(#REF!,"AAAAAHv1rd4=")</f>
        <v>#REF!</v>
      </c>
      <c r="HP68" t="e">
        <f>AND(#REF!,"AAAAAHv1rd8=")</f>
        <v>#REF!</v>
      </c>
      <c r="HQ68" t="e">
        <f>AND(#REF!,"AAAAAHv1reA=")</f>
        <v>#REF!</v>
      </c>
      <c r="HR68" t="e">
        <f>AND(#REF!,"AAAAAHv1reE=")</f>
        <v>#REF!</v>
      </c>
      <c r="HS68" t="e">
        <f>AND(#REF!,"AAAAAHv1reI=")</f>
        <v>#REF!</v>
      </c>
      <c r="HT68" t="e">
        <f>AND(#REF!,"AAAAAHv1reM=")</f>
        <v>#REF!</v>
      </c>
      <c r="HU68" t="e">
        <f>AND(#REF!,"AAAAAHv1reQ=")</f>
        <v>#REF!</v>
      </c>
      <c r="HV68" t="e">
        <f>AND(#REF!,"AAAAAHv1reU=")</f>
        <v>#REF!</v>
      </c>
      <c r="HW68" t="e">
        <f>AND(#REF!,"AAAAAHv1reY=")</f>
        <v>#REF!</v>
      </c>
      <c r="HX68" t="e">
        <f>AND(#REF!,"AAAAAHv1rec=")</f>
        <v>#REF!</v>
      </c>
      <c r="HY68" t="e">
        <f>AND(#REF!,"AAAAAHv1reg=")</f>
        <v>#REF!</v>
      </c>
      <c r="HZ68" t="e">
        <f>AND(#REF!,"AAAAAHv1rek=")</f>
        <v>#REF!</v>
      </c>
      <c r="IA68" t="e">
        <f>AND(#REF!,"AAAAAHv1reo=")</f>
        <v>#REF!</v>
      </c>
      <c r="IB68" t="e">
        <f>AND(#REF!,"AAAAAHv1res=")</f>
        <v>#REF!</v>
      </c>
      <c r="IC68" t="e">
        <f>AND(#REF!,"AAAAAHv1rew=")</f>
        <v>#REF!</v>
      </c>
      <c r="ID68" t="e">
        <f>AND(#REF!,"AAAAAHv1re0=")</f>
        <v>#REF!</v>
      </c>
      <c r="IE68" t="e">
        <f>AND(#REF!,"AAAAAHv1re4=")</f>
        <v>#REF!</v>
      </c>
      <c r="IF68" t="e">
        <f>AND(#REF!,"AAAAAHv1re8=")</f>
        <v>#REF!</v>
      </c>
      <c r="IG68" t="e">
        <f>AND(#REF!,"AAAAAHv1rfA=")</f>
        <v>#REF!</v>
      </c>
      <c r="IH68" t="e">
        <f>AND(#REF!,"AAAAAHv1rfE=")</f>
        <v>#REF!</v>
      </c>
      <c r="II68" t="e">
        <f>AND(#REF!,"AAAAAHv1rfI=")</f>
        <v>#REF!</v>
      </c>
      <c r="IJ68" t="e">
        <f>AND(#REF!,"AAAAAHv1rfM=")</f>
        <v>#REF!</v>
      </c>
      <c r="IK68" t="e">
        <f>AND(#REF!,"AAAAAHv1rfQ=")</f>
        <v>#REF!</v>
      </c>
      <c r="IL68" t="e">
        <f>AND(#REF!,"AAAAAHv1rfU=")</f>
        <v>#REF!</v>
      </c>
      <c r="IM68" t="e">
        <f>AND(#REF!,"AAAAAHv1rfY=")</f>
        <v>#REF!</v>
      </c>
      <c r="IN68" t="e">
        <f>AND(#REF!,"AAAAAHv1rfc=")</f>
        <v>#REF!</v>
      </c>
      <c r="IO68" t="e">
        <f>AND(#REF!,"AAAAAHv1rfg=")</f>
        <v>#REF!</v>
      </c>
      <c r="IP68" t="e">
        <f>AND(#REF!,"AAAAAHv1rfk=")</f>
        <v>#REF!</v>
      </c>
      <c r="IQ68" t="e">
        <f>AND(#REF!,"AAAAAHv1rfo=")</f>
        <v>#REF!</v>
      </c>
      <c r="IR68" t="e">
        <f>AND(#REF!,"AAAAAHv1rfs=")</f>
        <v>#REF!</v>
      </c>
      <c r="IS68" t="e">
        <f>AND(#REF!,"AAAAAHv1rfw=")</f>
        <v>#REF!</v>
      </c>
      <c r="IT68" t="e">
        <f>AND(#REF!,"AAAAAHv1rf0=")</f>
        <v>#REF!</v>
      </c>
      <c r="IU68" t="e">
        <f>AND(#REF!,"AAAAAHv1rf4=")</f>
        <v>#REF!</v>
      </c>
      <c r="IV68" t="e">
        <f>AND(#REF!,"AAAAAHv1rf8=")</f>
        <v>#REF!</v>
      </c>
    </row>
    <row r="69" spans="1:256" x14ac:dyDescent="0.25">
      <c r="A69" t="e">
        <f>AND(#REF!,"AAAAAH///wA=")</f>
        <v>#REF!</v>
      </c>
      <c r="B69" t="e">
        <f>AND(#REF!,"AAAAAH///wE=")</f>
        <v>#REF!</v>
      </c>
      <c r="C69" t="e">
        <f>AND(#REF!,"AAAAAH///wI=")</f>
        <v>#REF!</v>
      </c>
      <c r="D69" t="e">
        <f>AND(#REF!,"AAAAAH///wM=")</f>
        <v>#REF!</v>
      </c>
      <c r="E69" t="e">
        <f>AND(#REF!,"AAAAAH///wQ=")</f>
        <v>#REF!</v>
      </c>
      <c r="F69" t="e">
        <f>AND(#REF!,"AAAAAH///wU=")</f>
        <v>#REF!</v>
      </c>
      <c r="G69" t="e">
        <f>IF(#REF!,"AAAAAH///wY=",0)</f>
        <v>#REF!</v>
      </c>
      <c r="H69" t="e">
        <f>AND(#REF!,"AAAAAH///wc=")</f>
        <v>#REF!</v>
      </c>
      <c r="I69" t="e">
        <f>AND(#REF!,"AAAAAH///wg=")</f>
        <v>#REF!</v>
      </c>
      <c r="J69" t="e">
        <f>AND(#REF!,"AAAAAH///wk=")</f>
        <v>#REF!</v>
      </c>
      <c r="K69" t="e">
        <f>AND(#REF!,"AAAAAH///wo=")</f>
        <v>#REF!</v>
      </c>
      <c r="L69" t="e">
        <f>AND(#REF!,"AAAAAH///ws=")</f>
        <v>#REF!</v>
      </c>
      <c r="M69" t="e">
        <f>AND(#REF!,"AAAAAH///ww=")</f>
        <v>#REF!</v>
      </c>
      <c r="N69" t="e">
        <f>AND(#REF!,"AAAAAH///w0=")</f>
        <v>#REF!</v>
      </c>
      <c r="O69" t="e">
        <f>AND(#REF!,"AAAAAH///w4=")</f>
        <v>#REF!</v>
      </c>
      <c r="P69" t="e">
        <f>AND(#REF!,"AAAAAH///w8=")</f>
        <v>#REF!</v>
      </c>
      <c r="Q69" t="e">
        <f>AND(#REF!,"AAAAAH///xA=")</f>
        <v>#REF!</v>
      </c>
      <c r="R69" t="e">
        <f>AND(#REF!,"AAAAAH///xE=")</f>
        <v>#REF!</v>
      </c>
      <c r="S69" t="e">
        <f>AND(#REF!,"AAAAAH///xI=")</f>
        <v>#REF!</v>
      </c>
      <c r="T69" t="e">
        <f>AND(#REF!,"AAAAAH///xM=")</f>
        <v>#REF!</v>
      </c>
      <c r="U69" t="e">
        <f>AND(#REF!,"AAAAAH///xQ=")</f>
        <v>#REF!</v>
      </c>
      <c r="V69" t="e">
        <f>AND(#REF!,"AAAAAH///xU=")</f>
        <v>#REF!</v>
      </c>
      <c r="W69" t="e">
        <f>AND(#REF!,"AAAAAH///xY=")</f>
        <v>#REF!</v>
      </c>
      <c r="X69" t="e">
        <f>AND(#REF!,"AAAAAH///xc=")</f>
        <v>#REF!</v>
      </c>
      <c r="Y69" t="e">
        <f>AND(#REF!,"AAAAAH///xg=")</f>
        <v>#REF!</v>
      </c>
      <c r="Z69" t="e">
        <f>AND(#REF!,"AAAAAH///xk=")</f>
        <v>#REF!</v>
      </c>
      <c r="AA69" t="e">
        <f>AND(#REF!,"AAAAAH///xo=")</f>
        <v>#REF!</v>
      </c>
      <c r="AB69" t="e">
        <f>AND(#REF!,"AAAAAH///xs=")</f>
        <v>#REF!</v>
      </c>
      <c r="AC69" t="e">
        <f>AND(#REF!,"AAAAAH///xw=")</f>
        <v>#REF!</v>
      </c>
      <c r="AD69" t="e">
        <f>AND(#REF!,"AAAAAH///x0=")</f>
        <v>#REF!</v>
      </c>
      <c r="AE69" t="e">
        <f>AND(#REF!,"AAAAAH///x4=")</f>
        <v>#REF!</v>
      </c>
      <c r="AF69" t="e">
        <f>AND(#REF!,"AAAAAH///x8=")</f>
        <v>#REF!</v>
      </c>
      <c r="AG69" t="e">
        <f>AND(#REF!,"AAAAAH///yA=")</f>
        <v>#REF!</v>
      </c>
      <c r="AH69" t="e">
        <f>AND(#REF!,"AAAAAH///yE=")</f>
        <v>#REF!</v>
      </c>
      <c r="AI69" t="e">
        <f>AND(#REF!,"AAAAAH///yI=")</f>
        <v>#REF!</v>
      </c>
      <c r="AJ69" t="e">
        <f>AND(#REF!,"AAAAAH///yM=")</f>
        <v>#REF!</v>
      </c>
      <c r="AK69" t="e">
        <f>AND(#REF!,"AAAAAH///yQ=")</f>
        <v>#REF!</v>
      </c>
      <c r="AL69" t="e">
        <f>AND(#REF!,"AAAAAH///yU=")</f>
        <v>#REF!</v>
      </c>
      <c r="AM69" t="e">
        <f>AND(#REF!,"AAAAAH///yY=")</f>
        <v>#REF!</v>
      </c>
      <c r="AN69" t="e">
        <f>AND(#REF!,"AAAAAH///yc=")</f>
        <v>#REF!</v>
      </c>
      <c r="AO69" t="e">
        <f>AND(#REF!,"AAAAAH///yg=")</f>
        <v>#REF!</v>
      </c>
      <c r="AP69" t="e">
        <f>AND(#REF!,"AAAAAH///yk=")</f>
        <v>#REF!</v>
      </c>
      <c r="AQ69" t="e">
        <f>AND(#REF!,"AAAAAH///yo=")</f>
        <v>#REF!</v>
      </c>
      <c r="AR69" t="e">
        <f>AND(#REF!,"AAAAAH///ys=")</f>
        <v>#REF!</v>
      </c>
      <c r="AS69" t="e">
        <f>AND(#REF!,"AAAAAH///yw=")</f>
        <v>#REF!</v>
      </c>
      <c r="AT69" t="e">
        <f>AND(#REF!,"AAAAAH///y0=")</f>
        <v>#REF!</v>
      </c>
      <c r="AU69" t="e">
        <f>AND(#REF!,"AAAAAH///y4=")</f>
        <v>#REF!</v>
      </c>
      <c r="AV69" t="e">
        <f>AND(#REF!,"AAAAAH///y8=")</f>
        <v>#REF!</v>
      </c>
      <c r="AW69" t="e">
        <f>AND(#REF!,"AAAAAH///zA=")</f>
        <v>#REF!</v>
      </c>
      <c r="AX69" t="e">
        <f>AND(#REF!,"AAAAAH///zE=")</f>
        <v>#REF!</v>
      </c>
      <c r="AY69" t="e">
        <f>AND(#REF!,"AAAAAH///zI=")</f>
        <v>#REF!</v>
      </c>
      <c r="AZ69" t="e">
        <f>AND(#REF!,"AAAAAH///zM=")</f>
        <v>#REF!</v>
      </c>
      <c r="BA69" t="e">
        <f>AND(#REF!,"AAAAAH///zQ=")</f>
        <v>#REF!</v>
      </c>
      <c r="BB69" t="e">
        <f>AND(#REF!,"AAAAAH///zU=")</f>
        <v>#REF!</v>
      </c>
      <c r="BC69" t="e">
        <f>AND(#REF!,"AAAAAH///zY=")</f>
        <v>#REF!</v>
      </c>
      <c r="BD69" t="e">
        <f>AND(#REF!,"AAAAAH///zc=")</f>
        <v>#REF!</v>
      </c>
      <c r="BE69" t="e">
        <f>AND(#REF!,"AAAAAH///zg=")</f>
        <v>#REF!</v>
      </c>
      <c r="BF69" t="e">
        <f>AND(#REF!,"AAAAAH///zk=")</f>
        <v>#REF!</v>
      </c>
      <c r="BG69" t="e">
        <f>AND(#REF!,"AAAAAH///zo=")</f>
        <v>#REF!</v>
      </c>
      <c r="BH69" t="e">
        <f>AND(#REF!,"AAAAAH///zs=")</f>
        <v>#REF!</v>
      </c>
      <c r="BI69" t="e">
        <f>AND(#REF!,"AAAAAH///zw=")</f>
        <v>#REF!</v>
      </c>
      <c r="BJ69" t="e">
        <f>IF(#REF!,"AAAAAH///z0=",0)</f>
        <v>#REF!</v>
      </c>
      <c r="BK69" t="e">
        <f>AND(#REF!,"AAAAAH///z4=")</f>
        <v>#REF!</v>
      </c>
      <c r="BL69" t="e">
        <f>AND(#REF!,"AAAAAH///z8=")</f>
        <v>#REF!</v>
      </c>
      <c r="BM69" t="e">
        <f>AND(#REF!,"AAAAAH///0A=")</f>
        <v>#REF!</v>
      </c>
      <c r="BN69" t="e">
        <f>AND(#REF!,"AAAAAH///0E=")</f>
        <v>#REF!</v>
      </c>
      <c r="BO69" t="e">
        <f>AND(#REF!,"AAAAAH///0I=")</f>
        <v>#REF!</v>
      </c>
      <c r="BP69" t="e">
        <f>AND(#REF!,"AAAAAH///0M=")</f>
        <v>#REF!</v>
      </c>
      <c r="BQ69" t="e">
        <f>AND(#REF!,"AAAAAH///0Q=")</f>
        <v>#REF!</v>
      </c>
      <c r="BR69" t="e">
        <f>AND(#REF!,"AAAAAH///0U=")</f>
        <v>#REF!</v>
      </c>
      <c r="BS69" t="e">
        <f>AND(#REF!,"AAAAAH///0Y=")</f>
        <v>#REF!</v>
      </c>
      <c r="BT69" t="e">
        <f>AND(#REF!,"AAAAAH///0c=")</f>
        <v>#REF!</v>
      </c>
      <c r="BU69" t="e">
        <f>AND(#REF!,"AAAAAH///0g=")</f>
        <v>#REF!</v>
      </c>
      <c r="BV69" t="e">
        <f>AND(#REF!,"AAAAAH///0k=")</f>
        <v>#REF!</v>
      </c>
      <c r="BW69" t="e">
        <f>AND(#REF!,"AAAAAH///0o=")</f>
        <v>#REF!</v>
      </c>
      <c r="BX69" t="e">
        <f>AND(#REF!,"AAAAAH///0s=")</f>
        <v>#REF!</v>
      </c>
      <c r="BY69" t="e">
        <f>AND(#REF!,"AAAAAH///0w=")</f>
        <v>#REF!</v>
      </c>
      <c r="BZ69" t="e">
        <f>AND(#REF!,"AAAAAH///00=")</f>
        <v>#REF!</v>
      </c>
      <c r="CA69" t="e">
        <f>AND(#REF!,"AAAAAH///04=")</f>
        <v>#REF!</v>
      </c>
      <c r="CB69" t="e">
        <f>AND(#REF!,"AAAAAH///08=")</f>
        <v>#REF!</v>
      </c>
      <c r="CC69" t="e">
        <f>AND(#REF!,"AAAAAH///1A=")</f>
        <v>#REF!</v>
      </c>
      <c r="CD69" t="e">
        <f>AND(#REF!,"AAAAAH///1E=")</f>
        <v>#REF!</v>
      </c>
      <c r="CE69" t="e">
        <f>AND(#REF!,"AAAAAH///1I=")</f>
        <v>#REF!</v>
      </c>
      <c r="CF69" t="e">
        <f>AND(#REF!,"AAAAAH///1M=")</f>
        <v>#REF!</v>
      </c>
      <c r="CG69" t="e">
        <f>AND(#REF!,"AAAAAH///1Q=")</f>
        <v>#REF!</v>
      </c>
      <c r="CH69" t="e">
        <f>AND(#REF!,"AAAAAH///1U=")</f>
        <v>#REF!</v>
      </c>
      <c r="CI69" t="e">
        <f>AND(#REF!,"AAAAAH///1Y=")</f>
        <v>#REF!</v>
      </c>
      <c r="CJ69" t="e">
        <f>AND(#REF!,"AAAAAH///1c=")</f>
        <v>#REF!</v>
      </c>
      <c r="CK69" t="e">
        <f>AND(#REF!,"AAAAAH///1g=")</f>
        <v>#REF!</v>
      </c>
      <c r="CL69" t="e">
        <f>AND(#REF!,"AAAAAH///1k=")</f>
        <v>#REF!</v>
      </c>
      <c r="CM69" t="e">
        <f>AND(#REF!,"AAAAAH///1o=")</f>
        <v>#REF!</v>
      </c>
      <c r="CN69" t="e">
        <f>AND(#REF!,"AAAAAH///1s=")</f>
        <v>#REF!</v>
      </c>
      <c r="CO69" t="e">
        <f>AND(#REF!,"AAAAAH///1w=")</f>
        <v>#REF!</v>
      </c>
      <c r="CP69" t="e">
        <f>AND(#REF!,"AAAAAH///10=")</f>
        <v>#REF!</v>
      </c>
      <c r="CQ69" t="e">
        <f>AND(#REF!,"AAAAAH///14=")</f>
        <v>#REF!</v>
      </c>
      <c r="CR69" t="e">
        <f>AND(#REF!,"AAAAAH///18=")</f>
        <v>#REF!</v>
      </c>
      <c r="CS69" t="e">
        <f>AND(#REF!,"AAAAAH///2A=")</f>
        <v>#REF!</v>
      </c>
      <c r="CT69" t="e">
        <f>AND(#REF!,"AAAAAH///2E=")</f>
        <v>#REF!</v>
      </c>
      <c r="CU69" t="e">
        <f>AND(#REF!,"AAAAAH///2I=")</f>
        <v>#REF!</v>
      </c>
      <c r="CV69" t="e">
        <f>AND(#REF!,"AAAAAH///2M=")</f>
        <v>#REF!</v>
      </c>
      <c r="CW69" t="e">
        <f>AND(#REF!,"AAAAAH///2Q=")</f>
        <v>#REF!</v>
      </c>
      <c r="CX69" t="e">
        <f>AND(#REF!,"AAAAAH///2U=")</f>
        <v>#REF!</v>
      </c>
      <c r="CY69" t="e">
        <f>AND(#REF!,"AAAAAH///2Y=")</f>
        <v>#REF!</v>
      </c>
      <c r="CZ69" t="e">
        <f>AND(#REF!,"AAAAAH///2c=")</f>
        <v>#REF!</v>
      </c>
      <c r="DA69" t="e">
        <f>AND(#REF!,"AAAAAH///2g=")</f>
        <v>#REF!</v>
      </c>
      <c r="DB69" t="e">
        <f>AND(#REF!,"AAAAAH///2k=")</f>
        <v>#REF!</v>
      </c>
      <c r="DC69" t="e">
        <f>AND(#REF!,"AAAAAH///2o=")</f>
        <v>#REF!</v>
      </c>
      <c r="DD69" t="e">
        <f>AND(#REF!,"AAAAAH///2s=")</f>
        <v>#REF!</v>
      </c>
      <c r="DE69" t="e">
        <f>AND(#REF!,"AAAAAH///2w=")</f>
        <v>#REF!</v>
      </c>
      <c r="DF69" t="e">
        <f>AND(#REF!,"AAAAAH///20=")</f>
        <v>#REF!</v>
      </c>
      <c r="DG69" t="e">
        <f>AND(#REF!,"AAAAAH///24=")</f>
        <v>#REF!</v>
      </c>
      <c r="DH69" t="e">
        <f>AND(#REF!,"AAAAAH///28=")</f>
        <v>#REF!</v>
      </c>
      <c r="DI69" t="e">
        <f>AND(#REF!,"AAAAAH///3A=")</f>
        <v>#REF!</v>
      </c>
      <c r="DJ69" t="e">
        <f>AND(#REF!,"AAAAAH///3E=")</f>
        <v>#REF!</v>
      </c>
      <c r="DK69" t="e">
        <f>AND(#REF!,"AAAAAH///3I=")</f>
        <v>#REF!</v>
      </c>
      <c r="DL69" t="e">
        <f>AND(#REF!,"AAAAAH///3M=")</f>
        <v>#REF!</v>
      </c>
      <c r="DM69" t="e">
        <f>IF(#REF!,"AAAAAH///3Q=",0)</f>
        <v>#REF!</v>
      </c>
      <c r="DN69" t="e">
        <f>AND(#REF!,"AAAAAH///3U=")</f>
        <v>#REF!</v>
      </c>
      <c r="DO69" t="e">
        <f>AND(#REF!,"AAAAAH///3Y=")</f>
        <v>#REF!</v>
      </c>
      <c r="DP69" t="e">
        <f>AND(#REF!,"AAAAAH///3c=")</f>
        <v>#REF!</v>
      </c>
      <c r="DQ69" t="e">
        <f>AND(#REF!,"AAAAAH///3g=")</f>
        <v>#REF!</v>
      </c>
      <c r="DR69" t="e">
        <f>AND(#REF!,"AAAAAH///3k=")</f>
        <v>#REF!</v>
      </c>
      <c r="DS69" t="e">
        <f>AND(#REF!,"AAAAAH///3o=")</f>
        <v>#REF!</v>
      </c>
      <c r="DT69" t="e">
        <f>AND(#REF!,"AAAAAH///3s=")</f>
        <v>#REF!</v>
      </c>
      <c r="DU69" t="e">
        <f>AND(#REF!,"AAAAAH///3w=")</f>
        <v>#REF!</v>
      </c>
      <c r="DV69" t="e">
        <f>AND(#REF!,"AAAAAH///30=")</f>
        <v>#REF!</v>
      </c>
      <c r="DW69" t="e">
        <f>AND(#REF!,"AAAAAH///34=")</f>
        <v>#REF!</v>
      </c>
      <c r="DX69" t="e">
        <f>AND(#REF!,"AAAAAH///38=")</f>
        <v>#REF!</v>
      </c>
      <c r="DY69" t="e">
        <f>AND(#REF!,"AAAAAH///4A=")</f>
        <v>#REF!</v>
      </c>
      <c r="DZ69" t="e">
        <f>AND(#REF!,"AAAAAH///4E=")</f>
        <v>#REF!</v>
      </c>
      <c r="EA69" t="e">
        <f>AND(#REF!,"AAAAAH///4I=")</f>
        <v>#REF!</v>
      </c>
      <c r="EB69" t="e">
        <f>AND(#REF!,"AAAAAH///4M=")</f>
        <v>#REF!</v>
      </c>
      <c r="EC69" t="e">
        <f>AND(#REF!,"AAAAAH///4Q=")</f>
        <v>#REF!</v>
      </c>
      <c r="ED69" t="e">
        <f>AND(#REF!,"AAAAAH///4U=")</f>
        <v>#REF!</v>
      </c>
      <c r="EE69" t="e">
        <f>AND(#REF!,"AAAAAH///4Y=")</f>
        <v>#REF!</v>
      </c>
      <c r="EF69" t="e">
        <f>AND(#REF!,"AAAAAH///4c=")</f>
        <v>#REF!</v>
      </c>
      <c r="EG69" t="e">
        <f>AND(#REF!,"AAAAAH///4g=")</f>
        <v>#REF!</v>
      </c>
      <c r="EH69" t="e">
        <f>AND(#REF!,"AAAAAH///4k=")</f>
        <v>#REF!</v>
      </c>
      <c r="EI69" t="e">
        <f>AND(#REF!,"AAAAAH///4o=")</f>
        <v>#REF!</v>
      </c>
      <c r="EJ69" t="e">
        <f>AND(#REF!,"AAAAAH///4s=")</f>
        <v>#REF!</v>
      </c>
      <c r="EK69" t="e">
        <f>AND(#REF!,"AAAAAH///4w=")</f>
        <v>#REF!</v>
      </c>
      <c r="EL69" t="e">
        <f>AND(#REF!,"AAAAAH///40=")</f>
        <v>#REF!</v>
      </c>
      <c r="EM69" t="e">
        <f>AND(#REF!,"AAAAAH///44=")</f>
        <v>#REF!</v>
      </c>
      <c r="EN69" t="e">
        <f>AND(#REF!,"AAAAAH///48=")</f>
        <v>#REF!</v>
      </c>
      <c r="EO69" t="e">
        <f>AND(#REF!,"AAAAAH///5A=")</f>
        <v>#REF!</v>
      </c>
      <c r="EP69" t="e">
        <f>AND(#REF!,"AAAAAH///5E=")</f>
        <v>#REF!</v>
      </c>
      <c r="EQ69" t="e">
        <f>AND(#REF!,"AAAAAH///5I=")</f>
        <v>#REF!</v>
      </c>
      <c r="ER69" t="e">
        <f>AND(#REF!,"AAAAAH///5M=")</f>
        <v>#REF!</v>
      </c>
      <c r="ES69" t="e">
        <f>AND(#REF!,"AAAAAH///5Q=")</f>
        <v>#REF!</v>
      </c>
      <c r="ET69" t="e">
        <f>AND(#REF!,"AAAAAH///5U=")</f>
        <v>#REF!</v>
      </c>
      <c r="EU69" t="e">
        <f>AND(#REF!,"AAAAAH///5Y=")</f>
        <v>#REF!</v>
      </c>
      <c r="EV69" t="e">
        <f>AND(#REF!,"AAAAAH///5c=")</f>
        <v>#REF!</v>
      </c>
      <c r="EW69" t="e">
        <f>AND(#REF!,"AAAAAH///5g=")</f>
        <v>#REF!</v>
      </c>
      <c r="EX69" t="e">
        <f>AND(#REF!,"AAAAAH///5k=")</f>
        <v>#REF!</v>
      </c>
      <c r="EY69" t="e">
        <f>AND(#REF!,"AAAAAH///5o=")</f>
        <v>#REF!</v>
      </c>
      <c r="EZ69" t="e">
        <f>AND(#REF!,"AAAAAH///5s=")</f>
        <v>#REF!</v>
      </c>
      <c r="FA69" t="e">
        <f>AND(#REF!,"AAAAAH///5w=")</f>
        <v>#REF!</v>
      </c>
      <c r="FB69" t="e">
        <f>AND(#REF!,"AAAAAH///50=")</f>
        <v>#REF!</v>
      </c>
      <c r="FC69" t="e">
        <f>AND(#REF!,"AAAAAH///54=")</f>
        <v>#REF!</v>
      </c>
      <c r="FD69" t="e">
        <f>AND(#REF!,"AAAAAH///58=")</f>
        <v>#REF!</v>
      </c>
      <c r="FE69" t="e">
        <f>AND(#REF!,"AAAAAH///6A=")</f>
        <v>#REF!</v>
      </c>
      <c r="FF69" t="e">
        <f>AND(#REF!,"AAAAAH///6E=")</f>
        <v>#REF!</v>
      </c>
      <c r="FG69" t="e">
        <f>AND(#REF!,"AAAAAH///6I=")</f>
        <v>#REF!</v>
      </c>
      <c r="FH69" t="e">
        <f>AND(#REF!,"AAAAAH///6M=")</f>
        <v>#REF!</v>
      </c>
      <c r="FI69" t="e">
        <f>AND(#REF!,"AAAAAH///6Q=")</f>
        <v>#REF!</v>
      </c>
      <c r="FJ69" t="e">
        <f>AND(#REF!,"AAAAAH///6U=")</f>
        <v>#REF!</v>
      </c>
      <c r="FK69" t="e">
        <f>AND(#REF!,"AAAAAH///6Y=")</f>
        <v>#REF!</v>
      </c>
      <c r="FL69" t="e">
        <f>AND(#REF!,"AAAAAH///6c=")</f>
        <v>#REF!</v>
      </c>
      <c r="FM69" t="e">
        <f>AND(#REF!,"AAAAAH///6g=")</f>
        <v>#REF!</v>
      </c>
      <c r="FN69" t="e">
        <f>AND(#REF!,"AAAAAH///6k=")</f>
        <v>#REF!</v>
      </c>
      <c r="FO69" t="e">
        <f>AND(#REF!,"AAAAAH///6o=")</f>
        <v>#REF!</v>
      </c>
      <c r="FP69" t="e">
        <f>IF(#REF!,"AAAAAH///6s=",0)</f>
        <v>#REF!</v>
      </c>
      <c r="FQ69" t="e">
        <f>AND(#REF!,"AAAAAH///6w=")</f>
        <v>#REF!</v>
      </c>
      <c r="FR69" t="e">
        <f>AND(#REF!,"AAAAAH///60=")</f>
        <v>#REF!</v>
      </c>
      <c r="FS69" t="e">
        <f>AND(#REF!,"AAAAAH///64=")</f>
        <v>#REF!</v>
      </c>
      <c r="FT69" t="e">
        <f>AND(#REF!,"AAAAAH///68=")</f>
        <v>#REF!</v>
      </c>
      <c r="FU69" t="e">
        <f>AND(#REF!,"AAAAAH///7A=")</f>
        <v>#REF!</v>
      </c>
      <c r="FV69" t="e">
        <f>AND(#REF!,"AAAAAH///7E=")</f>
        <v>#REF!</v>
      </c>
      <c r="FW69" t="e">
        <f>AND(#REF!,"AAAAAH///7I=")</f>
        <v>#REF!</v>
      </c>
      <c r="FX69" t="e">
        <f>AND(#REF!,"AAAAAH///7M=")</f>
        <v>#REF!</v>
      </c>
      <c r="FY69" t="e">
        <f>AND(#REF!,"AAAAAH///7Q=")</f>
        <v>#REF!</v>
      </c>
      <c r="FZ69" t="e">
        <f>AND(#REF!,"AAAAAH///7U=")</f>
        <v>#REF!</v>
      </c>
      <c r="GA69" t="e">
        <f>AND(#REF!,"AAAAAH///7Y=")</f>
        <v>#REF!</v>
      </c>
      <c r="GB69" t="e">
        <f>AND(#REF!,"AAAAAH///7c=")</f>
        <v>#REF!</v>
      </c>
      <c r="GC69" t="e">
        <f>AND(#REF!,"AAAAAH///7g=")</f>
        <v>#REF!</v>
      </c>
      <c r="GD69" t="e">
        <f>AND(#REF!,"AAAAAH///7k=")</f>
        <v>#REF!</v>
      </c>
      <c r="GE69" t="e">
        <f>AND(#REF!,"AAAAAH///7o=")</f>
        <v>#REF!</v>
      </c>
      <c r="GF69" t="e">
        <f>AND(#REF!,"AAAAAH///7s=")</f>
        <v>#REF!</v>
      </c>
      <c r="GG69" t="e">
        <f>AND(#REF!,"AAAAAH///7w=")</f>
        <v>#REF!</v>
      </c>
      <c r="GH69" t="e">
        <f>AND(#REF!,"AAAAAH///70=")</f>
        <v>#REF!</v>
      </c>
      <c r="GI69" t="e">
        <f>AND(#REF!,"AAAAAH///74=")</f>
        <v>#REF!</v>
      </c>
      <c r="GJ69" t="e">
        <f>AND(#REF!,"AAAAAH///78=")</f>
        <v>#REF!</v>
      </c>
      <c r="GK69" t="e">
        <f>AND(#REF!,"AAAAAH///8A=")</f>
        <v>#REF!</v>
      </c>
      <c r="GL69" t="e">
        <f>AND(#REF!,"AAAAAH///8E=")</f>
        <v>#REF!</v>
      </c>
      <c r="GM69" t="e">
        <f>AND(#REF!,"AAAAAH///8I=")</f>
        <v>#REF!</v>
      </c>
      <c r="GN69" t="e">
        <f>AND(#REF!,"AAAAAH///8M=")</f>
        <v>#REF!</v>
      </c>
      <c r="GO69" t="e">
        <f>AND(#REF!,"AAAAAH///8Q=")</f>
        <v>#REF!</v>
      </c>
      <c r="GP69" t="e">
        <f>AND(#REF!,"AAAAAH///8U=")</f>
        <v>#REF!</v>
      </c>
      <c r="GQ69" t="e">
        <f>AND(#REF!,"AAAAAH///8Y=")</f>
        <v>#REF!</v>
      </c>
      <c r="GR69" t="e">
        <f>AND(#REF!,"AAAAAH///8c=")</f>
        <v>#REF!</v>
      </c>
      <c r="GS69" t="e">
        <f>AND(#REF!,"AAAAAH///8g=")</f>
        <v>#REF!</v>
      </c>
      <c r="GT69" t="e">
        <f>AND(#REF!,"AAAAAH///8k=")</f>
        <v>#REF!</v>
      </c>
      <c r="GU69" t="e">
        <f>AND(#REF!,"AAAAAH///8o=")</f>
        <v>#REF!</v>
      </c>
      <c r="GV69" t="e">
        <f>AND(#REF!,"AAAAAH///8s=")</f>
        <v>#REF!</v>
      </c>
      <c r="GW69" t="e">
        <f>AND(#REF!,"AAAAAH///8w=")</f>
        <v>#REF!</v>
      </c>
      <c r="GX69" t="e">
        <f>AND(#REF!,"AAAAAH///80=")</f>
        <v>#REF!</v>
      </c>
      <c r="GY69" t="e">
        <f>AND(#REF!,"AAAAAH///84=")</f>
        <v>#REF!</v>
      </c>
      <c r="GZ69" t="e">
        <f>AND(#REF!,"AAAAAH///88=")</f>
        <v>#REF!</v>
      </c>
      <c r="HA69" t="e">
        <f>AND(#REF!,"AAAAAH///9A=")</f>
        <v>#REF!</v>
      </c>
      <c r="HB69" t="e">
        <f>AND(#REF!,"AAAAAH///9E=")</f>
        <v>#REF!</v>
      </c>
      <c r="HC69" t="e">
        <f>AND(#REF!,"AAAAAH///9I=")</f>
        <v>#REF!</v>
      </c>
      <c r="HD69" t="e">
        <f>AND(#REF!,"AAAAAH///9M=")</f>
        <v>#REF!</v>
      </c>
      <c r="HE69" t="e">
        <f>AND(#REF!,"AAAAAH///9Q=")</f>
        <v>#REF!</v>
      </c>
      <c r="HF69" t="e">
        <f>AND(#REF!,"AAAAAH///9U=")</f>
        <v>#REF!</v>
      </c>
      <c r="HG69" t="e">
        <f>AND(#REF!,"AAAAAH///9Y=")</f>
        <v>#REF!</v>
      </c>
      <c r="HH69" t="e">
        <f>AND(#REF!,"AAAAAH///9c=")</f>
        <v>#REF!</v>
      </c>
      <c r="HI69" t="e">
        <f>AND(#REF!,"AAAAAH///9g=")</f>
        <v>#REF!</v>
      </c>
      <c r="HJ69" t="e">
        <f>AND(#REF!,"AAAAAH///9k=")</f>
        <v>#REF!</v>
      </c>
      <c r="HK69" t="e">
        <f>AND(#REF!,"AAAAAH///9o=")</f>
        <v>#REF!</v>
      </c>
      <c r="HL69" t="e">
        <f>AND(#REF!,"AAAAAH///9s=")</f>
        <v>#REF!</v>
      </c>
      <c r="HM69" t="e">
        <f>AND(#REF!,"AAAAAH///9w=")</f>
        <v>#REF!</v>
      </c>
      <c r="HN69" t="e">
        <f>AND(#REF!,"AAAAAH///90=")</f>
        <v>#REF!</v>
      </c>
      <c r="HO69" t="e">
        <f>AND(#REF!,"AAAAAH///94=")</f>
        <v>#REF!</v>
      </c>
      <c r="HP69" t="e">
        <f>AND(#REF!,"AAAAAH///98=")</f>
        <v>#REF!</v>
      </c>
      <c r="HQ69" t="e">
        <f>AND(#REF!,"AAAAAH///+A=")</f>
        <v>#REF!</v>
      </c>
      <c r="HR69" t="e">
        <f>AND(#REF!,"AAAAAH///+E=")</f>
        <v>#REF!</v>
      </c>
      <c r="HS69" t="e">
        <f>IF(#REF!,"AAAAAH///+I=",0)</f>
        <v>#REF!</v>
      </c>
      <c r="HT69" t="e">
        <f>AND(#REF!,"AAAAAH///+M=")</f>
        <v>#REF!</v>
      </c>
      <c r="HU69" t="e">
        <f>AND(#REF!,"AAAAAH///+Q=")</f>
        <v>#REF!</v>
      </c>
      <c r="HV69" t="e">
        <f>AND(#REF!,"AAAAAH///+U=")</f>
        <v>#REF!</v>
      </c>
      <c r="HW69" t="e">
        <f>AND(#REF!,"AAAAAH///+Y=")</f>
        <v>#REF!</v>
      </c>
      <c r="HX69" t="e">
        <f>AND(#REF!,"AAAAAH///+c=")</f>
        <v>#REF!</v>
      </c>
      <c r="HY69" t="e">
        <f>AND(#REF!,"AAAAAH///+g=")</f>
        <v>#REF!</v>
      </c>
      <c r="HZ69" t="e">
        <f>AND(#REF!,"AAAAAH///+k=")</f>
        <v>#REF!</v>
      </c>
      <c r="IA69" t="e">
        <f>AND(#REF!,"AAAAAH///+o=")</f>
        <v>#REF!</v>
      </c>
      <c r="IB69" t="e">
        <f>AND(#REF!,"AAAAAH///+s=")</f>
        <v>#REF!</v>
      </c>
      <c r="IC69" t="e">
        <f>AND(#REF!,"AAAAAH///+w=")</f>
        <v>#REF!</v>
      </c>
      <c r="ID69" t="e">
        <f>AND(#REF!,"AAAAAH///+0=")</f>
        <v>#REF!</v>
      </c>
      <c r="IE69" t="e">
        <f>AND(#REF!,"AAAAAH///+4=")</f>
        <v>#REF!</v>
      </c>
      <c r="IF69" t="e">
        <f>AND(#REF!,"AAAAAH///+8=")</f>
        <v>#REF!</v>
      </c>
      <c r="IG69" t="e">
        <f>AND(#REF!,"AAAAAH////A=")</f>
        <v>#REF!</v>
      </c>
      <c r="IH69" t="e">
        <f>AND(#REF!,"AAAAAH////E=")</f>
        <v>#REF!</v>
      </c>
      <c r="II69" t="e">
        <f>AND(#REF!,"AAAAAH////I=")</f>
        <v>#REF!</v>
      </c>
      <c r="IJ69" t="e">
        <f>AND(#REF!,"AAAAAH////M=")</f>
        <v>#REF!</v>
      </c>
      <c r="IK69" t="e">
        <f>AND(#REF!,"AAAAAH////Q=")</f>
        <v>#REF!</v>
      </c>
      <c r="IL69" t="e">
        <f>AND(#REF!,"AAAAAH////U=")</f>
        <v>#REF!</v>
      </c>
      <c r="IM69" t="e">
        <f>AND(#REF!,"AAAAAH////Y=")</f>
        <v>#REF!</v>
      </c>
      <c r="IN69" t="e">
        <f>AND(#REF!,"AAAAAH////c=")</f>
        <v>#REF!</v>
      </c>
      <c r="IO69" t="e">
        <f>AND(#REF!,"AAAAAH////g=")</f>
        <v>#REF!</v>
      </c>
      <c r="IP69" t="e">
        <f>AND(#REF!,"AAAAAH////k=")</f>
        <v>#REF!</v>
      </c>
      <c r="IQ69" t="e">
        <f>AND(#REF!,"AAAAAH////o=")</f>
        <v>#REF!</v>
      </c>
      <c r="IR69" t="e">
        <f>AND(#REF!,"AAAAAH////s=")</f>
        <v>#REF!</v>
      </c>
      <c r="IS69" t="e">
        <f>AND(#REF!,"AAAAAH////w=")</f>
        <v>#REF!</v>
      </c>
      <c r="IT69" t="e">
        <f>AND(#REF!,"AAAAAH////0=")</f>
        <v>#REF!</v>
      </c>
      <c r="IU69" t="e">
        <f>AND(#REF!,"AAAAAH////4=")</f>
        <v>#REF!</v>
      </c>
      <c r="IV69" t="e">
        <f>AND(#REF!,"AAAAAH////8=")</f>
        <v>#REF!</v>
      </c>
    </row>
    <row r="70" spans="1:256" x14ac:dyDescent="0.25">
      <c r="A70" t="e">
        <f>AND(#REF!,"AAAAAH3/DwA=")</f>
        <v>#REF!</v>
      </c>
      <c r="B70" t="e">
        <f>AND(#REF!,"AAAAAH3/DwE=")</f>
        <v>#REF!</v>
      </c>
      <c r="C70" t="e">
        <f>AND(#REF!,"AAAAAH3/DwI=")</f>
        <v>#REF!</v>
      </c>
      <c r="D70" t="e">
        <f>AND(#REF!,"AAAAAH3/DwM=")</f>
        <v>#REF!</v>
      </c>
      <c r="E70" t="e">
        <f>AND(#REF!,"AAAAAH3/DwQ=")</f>
        <v>#REF!</v>
      </c>
      <c r="F70" t="e">
        <f>AND(#REF!,"AAAAAH3/DwU=")</f>
        <v>#REF!</v>
      </c>
      <c r="G70" t="e">
        <f>AND(#REF!,"AAAAAH3/DwY=")</f>
        <v>#REF!</v>
      </c>
      <c r="H70" t="e">
        <f>AND(#REF!,"AAAAAH3/Dwc=")</f>
        <v>#REF!</v>
      </c>
      <c r="I70" t="e">
        <f>AND(#REF!,"AAAAAH3/Dwg=")</f>
        <v>#REF!</v>
      </c>
      <c r="J70" t="e">
        <f>AND(#REF!,"AAAAAH3/Dwk=")</f>
        <v>#REF!</v>
      </c>
      <c r="K70" t="e">
        <f>AND(#REF!,"AAAAAH3/Dwo=")</f>
        <v>#REF!</v>
      </c>
      <c r="L70" t="e">
        <f>AND(#REF!,"AAAAAH3/Dws=")</f>
        <v>#REF!</v>
      </c>
      <c r="M70" t="e">
        <f>AND(#REF!,"AAAAAH3/Dww=")</f>
        <v>#REF!</v>
      </c>
      <c r="N70" t="e">
        <f>AND(#REF!,"AAAAAH3/Dw0=")</f>
        <v>#REF!</v>
      </c>
      <c r="O70" t="e">
        <f>AND(#REF!,"AAAAAH3/Dw4=")</f>
        <v>#REF!</v>
      </c>
      <c r="P70" t="e">
        <f>AND(#REF!,"AAAAAH3/Dw8=")</f>
        <v>#REF!</v>
      </c>
      <c r="Q70" t="e">
        <f>AND(#REF!,"AAAAAH3/DxA=")</f>
        <v>#REF!</v>
      </c>
      <c r="R70" t="e">
        <f>AND(#REF!,"AAAAAH3/DxE=")</f>
        <v>#REF!</v>
      </c>
      <c r="S70" t="e">
        <f>AND(#REF!,"AAAAAH3/DxI=")</f>
        <v>#REF!</v>
      </c>
      <c r="T70" t="e">
        <f>AND(#REF!,"AAAAAH3/DxM=")</f>
        <v>#REF!</v>
      </c>
      <c r="U70" t="e">
        <f>AND(#REF!,"AAAAAH3/DxQ=")</f>
        <v>#REF!</v>
      </c>
      <c r="V70" t="e">
        <f>AND(#REF!,"AAAAAH3/DxU=")</f>
        <v>#REF!</v>
      </c>
      <c r="W70" t="e">
        <f>AND(#REF!,"AAAAAH3/DxY=")</f>
        <v>#REF!</v>
      </c>
      <c r="X70" t="e">
        <f>AND(#REF!,"AAAAAH3/Dxc=")</f>
        <v>#REF!</v>
      </c>
      <c r="Y70" t="e">
        <f>AND(#REF!,"AAAAAH3/Dxg=")</f>
        <v>#REF!</v>
      </c>
      <c r="Z70" t="e">
        <f>IF(#REF!,"AAAAAH3/Dxk=",0)</f>
        <v>#REF!</v>
      </c>
      <c r="AA70" t="e">
        <f>AND(#REF!,"AAAAAH3/Dxo=")</f>
        <v>#REF!</v>
      </c>
      <c r="AB70" t="e">
        <f>AND(#REF!,"AAAAAH3/Dxs=")</f>
        <v>#REF!</v>
      </c>
      <c r="AC70" t="e">
        <f>AND(#REF!,"AAAAAH3/Dxw=")</f>
        <v>#REF!</v>
      </c>
      <c r="AD70" t="e">
        <f>AND(#REF!,"AAAAAH3/Dx0=")</f>
        <v>#REF!</v>
      </c>
      <c r="AE70" t="e">
        <f>AND(#REF!,"AAAAAH3/Dx4=")</f>
        <v>#REF!</v>
      </c>
      <c r="AF70" t="e">
        <f>AND(#REF!,"AAAAAH3/Dx8=")</f>
        <v>#REF!</v>
      </c>
      <c r="AG70" t="e">
        <f>AND(#REF!,"AAAAAH3/DyA=")</f>
        <v>#REF!</v>
      </c>
      <c r="AH70" t="e">
        <f>AND(#REF!,"AAAAAH3/DyE=")</f>
        <v>#REF!</v>
      </c>
      <c r="AI70" t="e">
        <f>AND(#REF!,"AAAAAH3/DyI=")</f>
        <v>#REF!</v>
      </c>
      <c r="AJ70" t="e">
        <f>AND(#REF!,"AAAAAH3/DyM=")</f>
        <v>#REF!</v>
      </c>
      <c r="AK70" t="e">
        <f>AND(#REF!,"AAAAAH3/DyQ=")</f>
        <v>#REF!</v>
      </c>
      <c r="AL70" t="e">
        <f>AND(#REF!,"AAAAAH3/DyU=")</f>
        <v>#REF!</v>
      </c>
      <c r="AM70" t="e">
        <f>AND(#REF!,"AAAAAH3/DyY=")</f>
        <v>#REF!</v>
      </c>
      <c r="AN70" t="e">
        <f>AND(#REF!,"AAAAAH3/Dyc=")</f>
        <v>#REF!</v>
      </c>
      <c r="AO70" t="e">
        <f>AND(#REF!,"AAAAAH3/Dyg=")</f>
        <v>#REF!</v>
      </c>
      <c r="AP70" t="e">
        <f>AND(#REF!,"AAAAAH3/Dyk=")</f>
        <v>#REF!</v>
      </c>
      <c r="AQ70" t="e">
        <f>AND(#REF!,"AAAAAH3/Dyo=")</f>
        <v>#REF!</v>
      </c>
      <c r="AR70" t="e">
        <f>AND(#REF!,"AAAAAH3/Dys=")</f>
        <v>#REF!</v>
      </c>
      <c r="AS70" t="e">
        <f>AND(#REF!,"AAAAAH3/Dyw=")</f>
        <v>#REF!</v>
      </c>
      <c r="AT70" t="e">
        <f>AND(#REF!,"AAAAAH3/Dy0=")</f>
        <v>#REF!</v>
      </c>
      <c r="AU70" t="e">
        <f>AND(#REF!,"AAAAAH3/Dy4=")</f>
        <v>#REF!</v>
      </c>
      <c r="AV70" t="e">
        <f>AND(#REF!,"AAAAAH3/Dy8=")</f>
        <v>#REF!</v>
      </c>
      <c r="AW70" t="e">
        <f>AND(#REF!,"AAAAAH3/DzA=")</f>
        <v>#REF!</v>
      </c>
      <c r="AX70" t="e">
        <f>AND(#REF!,"AAAAAH3/DzE=")</f>
        <v>#REF!</v>
      </c>
      <c r="AY70" t="e">
        <f>AND(#REF!,"AAAAAH3/DzI=")</f>
        <v>#REF!</v>
      </c>
      <c r="AZ70" t="e">
        <f>AND(#REF!,"AAAAAH3/DzM=")</f>
        <v>#REF!</v>
      </c>
      <c r="BA70" t="e">
        <f>AND(#REF!,"AAAAAH3/DzQ=")</f>
        <v>#REF!</v>
      </c>
      <c r="BB70" t="e">
        <f>AND(#REF!,"AAAAAH3/DzU=")</f>
        <v>#REF!</v>
      </c>
      <c r="BC70" t="e">
        <f>AND(#REF!,"AAAAAH3/DzY=")</f>
        <v>#REF!</v>
      </c>
      <c r="BD70" t="e">
        <f>AND(#REF!,"AAAAAH3/Dzc=")</f>
        <v>#REF!</v>
      </c>
      <c r="BE70" t="e">
        <f>AND(#REF!,"AAAAAH3/Dzg=")</f>
        <v>#REF!</v>
      </c>
      <c r="BF70" t="e">
        <f>AND(#REF!,"AAAAAH3/Dzk=")</f>
        <v>#REF!</v>
      </c>
      <c r="BG70" t="e">
        <f>AND(#REF!,"AAAAAH3/Dzo=")</f>
        <v>#REF!</v>
      </c>
      <c r="BH70" t="e">
        <f>AND(#REF!,"AAAAAH3/Dzs=")</f>
        <v>#REF!</v>
      </c>
      <c r="BI70" t="e">
        <f>AND(#REF!,"AAAAAH3/Dzw=")</f>
        <v>#REF!</v>
      </c>
      <c r="BJ70" t="e">
        <f>AND(#REF!,"AAAAAH3/Dz0=")</f>
        <v>#REF!</v>
      </c>
      <c r="BK70" t="e">
        <f>AND(#REF!,"AAAAAH3/Dz4=")</f>
        <v>#REF!</v>
      </c>
      <c r="BL70" t="e">
        <f>AND(#REF!,"AAAAAH3/Dz8=")</f>
        <v>#REF!</v>
      </c>
      <c r="BM70" t="e">
        <f>AND(#REF!,"AAAAAH3/D0A=")</f>
        <v>#REF!</v>
      </c>
      <c r="BN70" t="e">
        <f>AND(#REF!,"AAAAAH3/D0E=")</f>
        <v>#REF!</v>
      </c>
      <c r="BO70" t="e">
        <f>AND(#REF!,"AAAAAH3/D0I=")</f>
        <v>#REF!</v>
      </c>
      <c r="BP70" t="e">
        <f>AND(#REF!,"AAAAAH3/D0M=")</f>
        <v>#REF!</v>
      </c>
      <c r="BQ70" t="e">
        <f>AND(#REF!,"AAAAAH3/D0Q=")</f>
        <v>#REF!</v>
      </c>
      <c r="BR70" t="e">
        <f>AND(#REF!,"AAAAAH3/D0U=")</f>
        <v>#REF!</v>
      </c>
      <c r="BS70" t="e">
        <f>AND(#REF!,"AAAAAH3/D0Y=")</f>
        <v>#REF!</v>
      </c>
      <c r="BT70" t="e">
        <f>AND(#REF!,"AAAAAH3/D0c=")</f>
        <v>#REF!</v>
      </c>
      <c r="BU70" t="e">
        <f>AND(#REF!,"AAAAAH3/D0g=")</f>
        <v>#REF!</v>
      </c>
      <c r="BV70" t="e">
        <f>AND(#REF!,"AAAAAH3/D0k=")</f>
        <v>#REF!</v>
      </c>
      <c r="BW70" t="e">
        <f>AND(#REF!,"AAAAAH3/D0o=")</f>
        <v>#REF!</v>
      </c>
      <c r="BX70" t="e">
        <f>AND(#REF!,"AAAAAH3/D0s=")</f>
        <v>#REF!</v>
      </c>
      <c r="BY70" t="e">
        <f>AND(#REF!,"AAAAAH3/D0w=")</f>
        <v>#REF!</v>
      </c>
      <c r="BZ70" t="e">
        <f>AND(#REF!,"AAAAAH3/D00=")</f>
        <v>#REF!</v>
      </c>
      <c r="CA70" t="e">
        <f>AND(#REF!,"AAAAAH3/D04=")</f>
        <v>#REF!</v>
      </c>
      <c r="CB70" t="e">
        <f>AND(#REF!,"AAAAAH3/D08=")</f>
        <v>#REF!</v>
      </c>
      <c r="CC70" t="e">
        <f>IF(#REF!,"AAAAAH3/D1A=",0)</f>
        <v>#REF!</v>
      </c>
      <c r="CD70" t="e">
        <f>AND(#REF!,"AAAAAH3/D1E=")</f>
        <v>#REF!</v>
      </c>
      <c r="CE70" t="e">
        <f>AND(#REF!,"AAAAAH3/D1I=")</f>
        <v>#REF!</v>
      </c>
      <c r="CF70" t="e">
        <f>AND(#REF!,"AAAAAH3/D1M=")</f>
        <v>#REF!</v>
      </c>
      <c r="CG70" t="e">
        <f>AND(#REF!,"AAAAAH3/D1Q=")</f>
        <v>#REF!</v>
      </c>
      <c r="CH70" t="e">
        <f>AND(#REF!,"AAAAAH3/D1U=")</f>
        <v>#REF!</v>
      </c>
      <c r="CI70" t="e">
        <f>AND(#REF!,"AAAAAH3/D1Y=")</f>
        <v>#REF!</v>
      </c>
      <c r="CJ70" t="e">
        <f>AND(#REF!,"AAAAAH3/D1c=")</f>
        <v>#REF!</v>
      </c>
      <c r="CK70" t="e">
        <f>AND(#REF!,"AAAAAH3/D1g=")</f>
        <v>#REF!</v>
      </c>
      <c r="CL70" t="e">
        <f>AND(#REF!,"AAAAAH3/D1k=")</f>
        <v>#REF!</v>
      </c>
      <c r="CM70" t="e">
        <f>AND(#REF!,"AAAAAH3/D1o=")</f>
        <v>#REF!</v>
      </c>
      <c r="CN70" t="e">
        <f>AND(#REF!,"AAAAAH3/D1s=")</f>
        <v>#REF!</v>
      </c>
      <c r="CO70" t="e">
        <f>AND(#REF!,"AAAAAH3/D1w=")</f>
        <v>#REF!</v>
      </c>
      <c r="CP70" t="e">
        <f>AND(#REF!,"AAAAAH3/D10=")</f>
        <v>#REF!</v>
      </c>
      <c r="CQ70" t="e">
        <f>AND(#REF!,"AAAAAH3/D14=")</f>
        <v>#REF!</v>
      </c>
      <c r="CR70" t="e">
        <f>AND(#REF!,"AAAAAH3/D18=")</f>
        <v>#REF!</v>
      </c>
      <c r="CS70" t="e">
        <f>AND(#REF!,"AAAAAH3/D2A=")</f>
        <v>#REF!</v>
      </c>
      <c r="CT70" t="e">
        <f>AND(#REF!,"AAAAAH3/D2E=")</f>
        <v>#REF!</v>
      </c>
      <c r="CU70" t="e">
        <f>AND(#REF!,"AAAAAH3/D2I=")</f>
        <v>#REF!</v>
      </c>
      <c r="CV70" t="e">
        <f>AND(#REF!,"AAAAAH3/D2M=")</f>
        <v>#REF!</v>
      </c>
      <c r="CW70" t="e">
        <f>AND(#REF!,"AAAAAH3/D2Q=")</f>
        <v>#REF!</v>
      </c>
      <c r="CX70" t="e">
        <f>AND(#REF!,"AAAAAH3/D2U=")</f>
        <v>#REF!</v>
      </c>
      <c r="CY70" t="e">
        <f>AND(#REF!,"AAAAAH3/D2Y=")</f>
        <v>#REF!</v>
      </c>
      <c r="CZ70" t="e">
        <f>AND(#REF!,"AAAAAH3/D2c=")</f>
        <v>#REF!</v>
      </c>
      <c r="DA70" t="e">
        <f>AND(#REF!,"AAAAAH3/D2g=")</f>
        <v>#REF!</v>
      </c>
      <c r="DB70" t="e">
        <f>AND(#REF!,"AAAAAH3/D2k=")</f>
        <v>#REF!</v>
      </c>
      <c r="DC70" t="e">
        <f>AND(#REF!,"AAAAAH3/D2o=")</f>
        <v>#REF!</v>
      </c>
      <c r="DD70" t="e">
        <f>AND(#REF!,"AAAAAH3/D2s=")</f>
        <v>#REF!</v>
      </c>
      <c r="DE70" t="e">
        <f>AND(#REF!,"AAAAAH3/D2w=")</f>
        <v>#REF!</v>
      </c>
      <c r="DF70" t="e">
        <f>AND(#REF!,"AAAAAH3/D20=")</f>
        <v>#REF!</v>
      </c>
      <c r="DG70" t="e">
        <f>AND(#REF!,"AAAAAH3/D24=")</f>
        <v>#REF!</v>
      </c>
      <c r="DH70" t="e">
        <f>AND(#REF!,"AAAAAH3/D28=")</f>
        <v>#REF!</v>
      </c>
      <c r="DI70" t="e">
        <f>AND(#REF!,"AAAAAH3/D3A=")</f>
        <v>#REF!</v>
      </c>
      <c r="DJ70" t="e">
        <f>AND(#REF!,"AAAAAH3/D3E=")</f>
        <v>#REF!</v>
      </c>
      <c r="DK70" t="e">
        <f>AND(#REF!,"AAAAAH3/D3I=")</f>
        <v>#REF!</v>
      </c>
      <c r="DL70" t="e">
        <f>AND(#REF!,"AAAAAH3/D3M=")</f>
        <v>#REF!</v>
      </c>
      <c r="DM70" t="e">
        <f>AND(#REF!,"AAAAAH3/D3Q=")</f>
        <v>#REF!</v>
      </c>
      <c r="DN70" t="e">
        <f>AND(#REF!,"AAAAAH3/D3U=")</f>
        <v>#REF!</v>
      </c>
      <c r="DO70" t="e">
        <f>AND(#REF!,"AAAAAH3/D3Y=")</f>
        <v>#REF!</v>
      </c>
      <c r="DP70" t="e">
        <f>AND(#REF!,"AAAAAH3/D3c=")</f>
        <v>#REF!</v>
      </c>
      <c r="DQ70" t="e">
        <f>AND(#REF!,"AAAAAH3/D3g=")</f>
        <v>#REF!</v>
      </c>
      <c r="DR70" t="e">
        <f>AND(#REF!,"AAAAAH3/D3k=")</f>
        <v>#REF!</v>
      </c>
      <c r="DS70" t="e">
        <f>AND(#REF!,"AAAAAH3/D3o=")</f>
        <v>#REF!</v>
      </c>
      <c r="DT70" t="e">
        <f>AND(#REF!,"AAAAAH3/D3s=")</f>
        <v>#REF!</v>
      </c>
      <c r="DU70" t="e">
        <f>AND(#REF!,"AAAAAH3/D3w=")</f>
        <v>#REF!</v>
      </c>
      <c r="DV70" t="e">
        <f>AND(#REF!,"AAAAAH3/D30=")</f>
        <v>#REF!</v>
      </c>
      <c r="DW70" t="e">
        <f>AND(#REF!,"AAAAAH3/D34=")</f>
        <v>#REF!</v>
      </c>
      <c r="DX70" t="e">
        <f>AND(#REF!,"AAAAAH3/D38=")</f>
        <v>#REF!</v>
      </c>
      <c r="DY70" t="e">
        <f>AND(#REF!,"AAAAAH3/D4A=")</f>
        <v>#REF!</v>
      </c>
      <c r="DZ70" t="e">
        <f>AND(#REF!,"AAAAAH3/D4E=")</f>
        <v>#REF!</v>
      </c>
      <c r="EA70" t="e">
        <f>AND(#REF!,"AAAAAH3/D4I=")</f>
        <v>#REF!</v>
      </c>
      <c r="EB70" t="e">
        <f>AND(#REF!,"AAAAAH3/D4M=")</f>
        <v>#REF!</v>
      </c>
      <c r="EC70" t="e">
        <f>AND(#REF!,"AAAAAH3/D4Q=")</f>
        <v>#REF!</v>
      </c>
      <c r="ED70" t="e">
        <f>AND(#REF!,"AAAAAH3/D4U=")</f>
        <v>#REF!</v>
      </c>
      <c r="EE70" t="e">
        <f>AND(#REF!,"AAAAAH3/D4Y=")</f>
        <v>#REF!</v>
      </c>
      <c r="EF70" t="e">
        <f>IF(#REF!,"AAAAAH3/D4c=",0)</f>
        <v>#REF!</v>
      </c>
      <c r="EG70" t="e">
        <f>AND(#REF!,"AAAAAH3/D4g=")</f>
        <v>#REF!</v>
      </c>
      <c r="EH70" t="e">
        <f>AND(#REF!,"AAAAAH3/D4k=")</f>
        <v>#REF!</v>
      </c>
      <c r="EI70" t="e">
        <f>AND(#REF!,"AAAAAH3/D4o=")</f>
        <v>#REF!</v>
      </c>
      <c r="EJ70" t="e">
        <f>AND(#REF!,"AAAAAH3/D4s=")</f>
        <v>#REF!</v>
      </c>
      <c r="EK70" t="e">
        <f>AND(#REF!,"AAAAAH3/D4w=")</f>
        <v>#REF!</v>
      </c>
      <c r="EL70" t="e">
        <f>AND(#REF!,"AAAAAH3/D40=")</f>
        <v>#REF!</v>
      </c>
      <c r="EM70" t="e">
        <f>AND(#REF!,"AAAAAH3/D44=")</f>
        <v>#REF!</v>
      </c>
      <c r="EN70" t="e">
        <f>AND(#REF!,"AAAAAH3/D48=")</f>
        <v>#REF!</v>
      </c>
      <c r="EO70" t="e">
        <f>AND(#REF!,"AAAAAH3/D5A=")</f>
        <v>#REF!</v>
      </c>
      <c r="EP70" t="e">
        <f>AND(#REF!,"AAAAAH3/D5E=")</f>
        <v>#REF!</v>
      </c>
      <c r="EQ70" t="e">
        <f>AND(#REF!,"AAAAAH3/D5I=")</f>
        <v>#REF!</v>
      </c>
      <c r="ER70" t="e">
        <f>AND(#REF!,"AAAAAH3/D5M=")</f>
        <v>#REF!</v>
      </c>
      <c r="ES70" t="e">
        <f>AND(#REF!,"AAAAAH3/D5Q=")</f>
        <v>#REF!</v>
      </c>
      <c r="ET70" t="e">
        <f>AND(#REF!,"AAAAAH3/D5U=")</f>
        <v>#REF!</v>
      </c>
      <c r="EU70" t="e">
        <f>AND(#REF!,"AAAAAH3/D5Y=")</f>
        <v>#REF!</v>
      </c>
      <c r="EV70" t="e">
        <f>AND(#REF!,"AAAAAH3/D5c=")</f>
        <v>#REF!</v>
      </c>
      <c r="EW70" t="e">
        <f>AND(#REF!,"AAAAAH3/D5g=")</f>
        <v>#REF!</v>
      </c>
      <c r="EX70" t="e">
        <f>AND(#REF!,"AAAAAH3/D5k=")</f>
        <v>#REF!</v>
      </c>
      <c r="EY70" t="e">
        <f>AND(#REF!,"AAAAAH3/D5o=")</f>
        <v>#REF!</v>
      </c>
      <c r="EZ70" t="e">
        <f>AND(#REF!,"AAAAAH3/D5s=")</f>
        <v>#REF!</v>
      </c>
      <c r="FA70" t="e">
        <f>AND(#REF!,"AAAAAH3/D5w=")</f>
        <v>#REF!</v>
      </c>
      <c r="FB70" t="e">
        <f>AND(#REF!,"AAAAAH3/D50=")</f>
        <v>#REF!</v>
      </c>
      <c r="FC70" t="e">
        <f>AND(#REF!,"AAAAAH3/D54=")</f>
        <v>#REF!</v>
      </c>
      <c r="FD70" t="e">
        <f>AND(#REF!,"AAAAAH3/D58=")</f>
        <v>#REF!</v>
      </c>
      <c r="FE70" t="e">
        <f>AND(#REF!,"AAAAAH3/D6A=")</f>
        <v>#REF!</v>
      </c>
      <c r="FF70" t="e">
        <f>AND(#REF!,"AAAAAH3/D6E=")</f>
        <v>#REF!</v>
      </c>
      <c r="FG70" t="e">
        <f>AND(#REF!,"AAAAAH3/D6I=")</f>
        <v>#REF!</v>
      </c>
      <c r="FH70" t="e">
        <f>AND(#REF!,"AAAAAH3/D6M=")</f>
        <v>#REF!</v>
      </c>
      <c r="FI70" t="e">
        <f>AND(#REF!,"AAAAAH3/D6Q=")</f>
        <v>#REF!</v>
      </c>
      <c r="FJ70" t="e">
        <f>AND(#REF!,"AAAAAH3/D6U=")</f>
        <v>#REF!</v>
      </c>
      <c r="FK70" t="e">
        <f>AND(#REF!,"AAAAAH3/D6Y=")</f>
        <v>#REF!</v>
      </c>
      <c r="FL70" t="e">
        <f>AND(#REF!,"AAAAAH3/D6c=")</f>
        <v>#REF!</v>
      </c>
      <c r="FM70" t="e">
        <f>AND(#REF!,"AAAAAH3/D6g=")</f>
        <v>#REF!</v>
      </c>
      <c r="FN70" t="e">
        <f>AND(#REF!,"AAAAAH3/D6k=")</f>
        <v>#REF!</v>
      </c>
      <c r="FO70" t="e">
        <f>AND(#REF!,"AAAAAH3/D6o=")</f>
        <v>#REF!</v>
      </c>
      <c r="FP70" t="e">
        <f>AND(#REF!,"AAAAAH3/D6s=")</f>
        <v>#REF!</v>
      </c>
      <c r="FQ70" t="e">
        <f>AND(#REF!,"AAAAAH3/D6w=")</f>
        <v>#REF!</v>
      </c>
      <c r="FR70" t="e">
        <f>AND(#REF!,"AAAAAH3/D60=")</f>
        <v>#REF!</v>
      </c>
      <c r="FS70" t="e">
        <f>AND(#REF!,"AAAAAH3/D64=")</f>
        <v>#REF!</v>
      </c>
      <c r="FT70" t="e">
        <f>AND(#REF!,"AAAAAH3/D68=")</f>
        <v>#REF!</v>
      </c>
      <c r="FU70" t="e">
        <f>AND(#REF!,"AAAAAH3/D7A=")</f>
        <v>#REF!</v>
      </c>
      <c r="FV70" t="e">
        <f>AND(#REF!,"AAAAAH3/D7E=")</f>
        <v>#REF!</v>
      </c>
      <c r="FW70" t="e">
        <f>AND(#REF!,"AAAAAH3/D7I=")</f>
        <v>#REF!</v>
      </c>
      <c r="FX70" t="e">
        <f>AND(#REF!,"AAAAAH3/D7M=")</f>
        <v>#REF!</v>
      </c>
      <c r="FY70" t="e">
        <f>AND(#REF!,"AAAAAH3/D7Q=")</f>
        <v>#REF!</v>
      </c>
      <c r="FZ70" t="e">
        <f>AND(#REF!,"AAAAAH3/D7U=")</f>
        <v>#REF!</v>
      </c>
      <c r="GA70" t="e">
        <f>AND(#REF!,"AAAAAH3/D7Y=")</f>
        <v>#REF!</v>
      </c>
      <c r="GB70" t="e">
        <f>AND(#REF!,"AAAAAH3/D7c=")</f>
        <v>#REF!</v>
      </c>
      <c r="GC70" t="e">
        <f>AND(#REF!,"AAAAAH3/D7g=")</f>
        <v>#REF!</v>
      </c>
      <c r="GD70" t="e">
        <f>AND(#REF!,"AAAAAH3/D7k=")</f>
        <v>#REF!</v>
      </c>
      <c r="GE70" t="e">
        <f>AND(#REF!,"AAAAAH3/D7o=")</f>
        <v>#REF!</v>
      </c>
      <c r="GF70" t="e">
        <f>AND(#REF!,"AAAAAH3/D7s=")</f>
        <v>#REF!</v>
      </c>
      <c r="GG70" t="e">
        <f>AND(#REF!,"AAAAAH3/D7w=")</f>
        <v>#REF!</v>
      </c>
      <c r="GH70" t="e">
        <f>AND(#REF!,"AAAAAH3/D70=")</f>
        <v>#REF!</v>
      </c>
      <c r="GI70" t="e">
        <f>IF(#REF!,"AAAAAH3/D74=",0)</f>
        <v>#REF!</v>
      </c>
      <c r="GJ70" t="e">
        <f>AND(#REF!,"AAAAAH3/D78=")</f>
        <v>#REF!</v>
      </c>
      <c r="GK70" t="e">
        <f>AND(#REF!,"AAAAAH3/D8A=")</f>
        <v>#REF!</v>
      </c>
      <c r="GL70" t="e">
        <f>AND(#REF!,"AAAAAH3/D8E=")</f>
        <v>#REF!</v>
      </c>
      <c r="GM70" t="e">
        <f>AND(#REF!,"AAAAAH3/D8I=")</f>
        <v>#REF!</v>
      </c>
      <c r="GN70" t="e">
        <f>AND(#REF!,"AAAAAH3/D8M=")</f>
        <v>#REF!</v>
      </c>
      <c r="GO70" t="e">
        <f>AND(#REF!,"AAAAAH3/D8Q=")</f>
        <v>#REF!</v>
      </c>
      <c r="GP70" t="e">
        <f>AND(#REF!,"AAAAAH3/D8U=")</f>
        <v>#REF!</v>
      </c>
      <c r="GQ70" t="e">
        <f>AND(#REF!,"AAAAAH3/D8Y=")</f>
        <v>#REF!</v>
      </c>
      <c r="GR70" t="e">
        <f>AND(#REF!,"AAAAAH3/D8c=")</f>
        <v>#REF!</v>
      </c>
      <c r="GS70" t="e">
        <f>AND(#REF!,"AAAAAH3/D8g=")</f>
        <v>#REF!</v>
      </c>
      <c r="GT70" t="e">
        <f>AND(#REF!,"AAAAAH3/D8k=")</f>
        <v>#REF!</v>
      </c>
      <c r="GU70" t="e">
        <f>AND(#REF!,"AAAAAH3/D8o=")</f>
        <v>#REF!</v>
      </c>
      <c r="GV70" t="e">
        <f>AND(#REF!,"AAAAAH3/D8s=")</f>
        <v>#REF!</v>
      </c>
      <c r="GW70" t="e">
        <f>AND(#REF!,"AAAAAH3/D8w=")</f>
        <v>#REF!</v>
      </c>
      <c r="GX70" t="e">
        <f>AND(#REF!,"AAAAAH3/D80=")</f>
        <v>#REF!</v>
      </c>
      <c r="GY70" t="e">
        <f>AND(#REF!,"AAAAAH3/D84=")</f>
        <v>#REF!</v>
      </c>
      <c r="GZ70" t="e">
        <f>AND(#REF!,"AAAAAH3/D88=")</f>
        <v>#REF!</v>
      </c>
      <c r="HA70" t="e">
        <f>AND(#REF!,"AAAAAH3/D9A=")</f>
        <v>#REF!</v>
      </c>
      <c r="HB70" t="e">
        <f>AND(#REF!,"AAAAAH3/D9E=")</f>
        <v>#REF!</v>
      </c>
      <c r="HC70" t="e">
        <f>AND(#REF!,"AAAAAH3/D9I=")</f>
        <v>#REF!</v>
      </c>
      <c r="HD70" t="e">
        <f>AND(#REF!,"AAAAAH3/D9M=")</f>
        <v>#REF!</v>
      </c>
      <c r="HE70" t="e">
        <f>AND(#REF!,"AAAAAH3/D9Q=")</f>
        <v>#REF!</v>
      </c>
      <c r="HF70" t="e">
        <f>AND(#REF!,"AAAAAH3/D9U=")</f>
        <v>#REF!</v>
      </c>
      <c r="HG70" t="e">
        <f>AND(#REF!,"AAAAAH3/D9Y=")</f>
        <v>#REF!</v>
      </c>
      <c r="HH70" t="e">
        <f>AND(#REF!,"AAAAAH3/D9c=")</f>
        <v>#REF!</v>
      </c>
      <c r="HI70" t="e">
        <f>AND(#REF!,"AAAAAH3/D9g=")</f>
        <v>#REF!</v>
      </c>
      <c r="HJ70" t="e">
        <f>AND(#REF!,"AAAAAH3/D9k=")</f>
        <v>#REF!</v>
      </c>
      <c r="HK70" t="e">
        <f>AND(#REF!,"AAAAAH3/D9o=")</f>
        <v>#REF!</v>
      </c>
      <c r="HL70" t="e">
        <f>AND(#REF!,"AAAAAH3/D9s=")</f>
        <v>#REF!</v>
      </c>
      <c r="HM70" t="e">
        <f>AND(#REF!,"AAAAAH3/D9w=")</f>
        <v>#REF!</v>
      </c>
      <c r="HN70" t="e">
        <f>AND(#REF!,"AAAAAH3/D90=")</f>
        <v>#REF!</v>
      </c>
      <c r="HO70" t="e">
        <f>AND(#REF!,"AAAAAH3/D94=")</f>
        <v>#REF!</v>
      </c>
      <c r="HP70" t="e">
        <f>AND(#REF!,"AAAAAH3/D98=")</f>
        <v>#REF!</v>
      </c>
      <c r="HQ70" t="e">
        <f>AND(#REF!,"AAAAAH3/D+A=")</f>
        <v>#REF!</v>
      </c>
      <c r="HR70" t="e">
        <f>AND(#REF!,"AAAAAH3/D+E=")</f>
        <v>#REF!</v>
      </c>
      <c r="HS70" t="e">
        <f>AND(#REF!,"AAAAAH3/D+I=")</f>
        <v>#REF!</v>
      </c>
      <c r="HT70" t="e">
        <f>AND(#REF!,"AAAAAH3/D+M=")</f>
        <v>#REF!</v>
      </c>
      <c r="HU70" t="e">
        <f>AND(#REF!,"AAAAAH3/D+Q=")</f>
        <v>#REF!</v>
      </c>
      <c r="HV70" t="e">
        <f>AND(#REF!,"AAAAAH3/D+U=")</f>
        <v>#REF!</v>
      </c>
      <c r="HW70" t="e">
        <f>AND(#REF!,"AAAAAH3/D+Y=")</f>
        <v>#REF!</v>
      </c>
      <c r="HX70" t="e">
        <f>AND(#REF!,"AAAAAH3/D+c=")</f>
        <v>#REF!</v>
      </c>
      <c r="HY70" t="e">
        <f>AND(#REF!,"AAAAAH3/D+g=")</f>
        <v>#REF!</v>
      </c>
      <c r="HZ70" t="e">
        <f>AND(#REF!,"AAAAAH3/D+k=")</f>
        <v>#REF!</v>
      </c>
      <c r="IA70" t="e">
        <f>AND(#REF!,"AAAAAH3/D+o=")</f>
        <v>#REF!</v>
      </c>
      <c r="IB70" t="e">
        <f>AND(#REF!,"AAAAAH3/D+s=")</f>
        <v>#REF!</v>
      </c>
      <c r="IC70" t="e">
        <f>AND(#REF!,"AAAAAH3/D+w=")</f>
        <v>#REF!</v>
      </c>
      <c r="ID70" t="e">
        <f>AND(#REF!,"AAAAAH3/D+0=")</f>
        <v>#REF!</v>
      </c>
      <c r="IE70" t="e">
        <f>AND(#REF!,"AAAAAH3/D+4=")</f>
        <v>#REF!</v>
      </c>
      <c r="IF70" t="e">
        <f>AND(#REF!,"AAAAAH3/D+8=")</f>
        <v>#REF!</v>
      </c>
      <c r="IG70" t="e">
        <f>AND(#REF!,"AAAAAH3/D/A=")</f>
        <v>#REF!</v>
      </c>
      <c r="IH70" t="e">
        <f>AND(#REF!,"AAAAAH3/D/E=")</f>
        <v>#REF!</v>
      </c>
      <c r="II70" t="e">
        <f>AND(#REF!,"AAAAAH3/D/I=")</f>
        <v>#REF!</v>
      </c>
      <c r="IJ70" t="e">
        <f>AND(#REF!,"AAAAAH3/D/M=")</f>
        <v>#REF!</v>
      </c>
      <c r="IK70" t="e">
        <f>AND(#REF!,"AAAAAH3/D/Q=")</f>
        <v>#REF!</v>
      </c>
      <c r="IL70" t="e">
        <f>IF(#REF!,"AAAAAH3/D/U=",0)</f>
        <v>#REF!</v>
      </c>
      <c r="IM70" t="e">
        <f>AND(#REF!,"AAAAAH3/D/Y=")</f>
        <v>#REF!</v>
      </c>
      <c r="IN70" t="e">
        <f>AND(#REF!,"AAAAAH3/D/c=")</f>
        <v>#REF!</v>
      </c>
      <c r="IO70" t="e">
        <f>AND(#REF!,"AAAAAH3/D/g=")</f>
        <v>#REF!</v>
      </c>
      <c r="IP70" t="e">
        <f>AND(#REF!,"AAAAAH3/D/k=")</f>
        <v>#REF!</v>
      </c>
      <c r="IQ70" t="e">
        <f>AND(#REF!,"AAAAAH3/D/o=")</f>
        <v>#REF!</v>
      </c>
      <c r="IR70" t="e">
        <f>AND(#REF!,"AAAAAH3/D/s=")</f>
        <v>#REF!</v>
      </c>
      <c r="IS70" t="e">
        <f>AND(#REF!,"AAAAAH3/D/w=")</f>
        <v>#REF!</v>
      </c>
      <c r="IT70" t="e">
        <f>AND(#REF!,"AAAAAH3/D/0=")</f>
        <v>#REF!</v>
      </c>
      <c r="IU70" t="e">
        <f>AND(#REF!,"AAAAAH3/D/4=")</f>
        <v>#REF!</v>
      </c>
      <c r="IV70" t="e">
        <f>AND(#REF!,"AAAAAH3/D/8=")</f>
        <v>#REF!</v>
      </c>
    </row>
    <row r="71" spans="1:256" x14ac:dyDescent="0.25">
      <c r="A71" t="e">
        <f>AND(#REF!,"AAAAAD+XOwA=")</f>
        <v>#REF!</v>
      </c>
      <c r="B71" t="e">
        <f>AND(#REF!,"AAAAAD+XOwE=")</f>
        <v>#REF!</v>
      </c>
      <c r="C71" t="e">
        <f>AND(#REF!,"AAAAAD+XOwI=")</f>
        <v>#REF!</v>
      </c>
      <c r="D71" t="e">
        <f>AND(#REF!,"AAAAAD+XOwM=")</f>
        <v>#REF!</v>
      </c>
      <c r="E71" t="e">
        <f>AND(#REF!,"AAAAAD+XOwQ=")</f>
        <v>#REF!</v>
      </c>
      <c r="F71" t="e">
        <f>AND(#REF!,"AAAAAD+XOwU=")</f>
        <v>#REF!</v>
      </c>
      <c r="G71" t="e">
        <f>AND(#REF!,"AAAAAD+XOwY=")</f>
        <v>#REF!</v>
      </c>
      <c r="H71" t="e">
        <f>AND(#REF!,"AAAAAD+XOwc=")</f>
        <v>#REF!</v>
      </c>
      <c r="I71" t="e">
        <f>AND(#REF!,"AAAAAD+XOwg=")</f>
        <v>#REF!</v>
      </c>
      <c r="J71" t="e">
        <f>AND(#REF!,"AAAAAD+XOwk=")</f>
        <v>#REF!</v>
      </c>
      <c r="K71" t="e">
        <f>AND(#REF!,"AAAAAD+XOwo=")</f>
        <v>#REF!</v>
      </c>
      <c r="L71" t="e">
        <f>AND(#REF!,"AAAAAD+XOws=")</f>
        <v>#REF!</v>
      </c>
      <c r="M71" t="e">
        <f>AND(#REF!,"AAAAAD+XOww=")</f>
        <v>#REF!</v>
      </c>
      <c r="N71" t="e">
        <f>AND(#REF!,"AAAAAD+XOw0=")</f>
        <v>#REF!</v>
      </c>
      <c r="O71" t="e">
        <f>AND(#REF!,"AAAAAD+XOw4=")</f>
        <v>#REF!</v>
      </c>
      <c r="P71" t="e">
        <f>AND(#REF!,"AAAAAD+XOw8=")</f>
        <v>#REF!</v>
      </c>
      <c r="Q71" t="e">
        <f>AND(#REF!,"AAAAAD+XOxA=")</f>
        <v>#REF!</v>
      </c>
      <c r="R71" t="e">
        <f>AND(#REF!,"AAAAAD+XOxE=")</f>
        <v>#REF!</v>
      </c>
      <c r="S71" t="e">
        <f>AND(#REF!,"AAAAAD+XOxI=")</f>
        <v>#REF!</v>
      </c>
      <c r="T71" t="e">
        <f>AND(#REF!,"AAAAAD+XOxM=")</f>
        <v>#REF!</v>
      </c>
      <c r="U71" t="e">
        <f>AND(#REF!,"AAAAAD+XOxQ=")</f>
        <v>#REF!</v>
      </c>
      <c r="V71" t="e">
        <f>AND(#REF!,"AAAAAD+XOxU=")</f>
        <v>#REF!</v>
      </c>
      <c r="W71" t="e">
        <f>AND(#REF!,"AAAAAD+XOxY=")</f>
        <v>#REF!</v>
      </c>
      <c r="X71" t="e">
        <f>AND(#REF!,"AAAAAD+XOxc=")</f>
        <v>#REF!</v>
      </c>
      <c r="Y71" t="e">
        <f>AND(#REF!,"AAAAAD+XOxg=")</f>
        <v>#REF!</v>
      </c>
      <c r="Z71" t="e">
        <f>AND(#REF!,"AAAAAD+XOxk=")</f>
        <v>#REF!</v>
      </c>
      <c r="AA71" t="e">
        <f>AND(#REF!,"AAAAAD+XOxo=")</f>
        <v>#REF!</v>
      </c>
      <c r="AB71" t="e">
        <f>AND(#REF!,"AAAAAD+XOxs=")</f>
        <v>#REF!</v>
      </c>
      <c r="AC71" t="e">
        <f>AND(#REF!,"AAAAAD+XOxw=")</f>
        <v>#REF!</v>
      </c>
      <c r="AD71" t="e">
        <f>AND(#REF!,"AAAAAD+XOx0=")</f>
        <v>#REF!</v>
      </c>
      <c r="AE71" t="e">
        <f>AND(#REF!,"AAAAAD+XOx4=")</f>
        <v>#REF!</v>
      </c>
      <c r="AF71" t="e">
        <f>AND(#REF!,"AAAAAD+XOx8=")</f>
        <v>#REF!</v>
      </c>
      <c r="AG71" t="e">
        <f>AND(#REF!,"AAAAAD+XOyA=")</f>
        <v>#REF!</v>
      </c>
      <c r="AH71" t="e">
        <f>AND(#REF!,"AAAAAD+XOyE=")</f>
        <v>#REF!</v>
      </c>
      <c r="AI71" t="e">
        <f>AND(#REF!,"AAAAAD+XOyI=")</f>
        <v>#REF!</v>
      </c>
      <c r="AJ71" t="e">
        <f>AND(#REF!,"AAAAAD+XOyM=")</f>
        <v>#REF!</v>
      </c>
      <c r="AK71" t="e">
        <f>AND(#REF!,"AAAAAD+XOyQ=")</f>
        <v>#REF!</v>
      </c>
      <c r="AL71" t="e">
        <f>AND(#REF!,"AAAAAD+XOyU=")</f>
        <v>#REF!</v>
      </c>
      <c r="AM71" t="e">
        <f>AND(#REF!,"AAAAAD+XOyY=")</f>
        <v>#REF!</v>
      </c>
      <c r="AN71" t="e">
        <f>AND(#REF!,"AAAAAD+XOyc=")</f>
        <v>#REF!</v>
      </c>
      <c r="AO71" t="e">
        <f>AND(#REF!,"AAAAAD+XOyg=")</f>
        <v>#REF!</v>
      </c>
      <c r="AP71" t="e">
        <f>AND(#REF!,"AAAAAD+XOyk=")</f>
        <v>#REF!</v>
      </c>
      <c r="AQ71" t="e">
        <f>AND(#REF!,"AAAAAD+XOyo=")</f>
        <v>#REF!</v>
      </c>
      <c r="AR71" t="e">
        <f>AND(#REF!,"AAAAAD+XOys=")</f>
        <v>#REF!</v>
      </c>
      <c r="AS71" t="e">
        <f>IF(#REF!,"AAAAAD+XOyw=",0)</f>
        <v>#REF!</v>
      </c>
      <c r="AT71" t="e">
        <f>AND(#REF!,"AAAAAD+XOy0=")</f>
        <v>#REF!</v>
      </c>
      <c r="AU71" t="e">
        <f>AND(#REF!,"AAAAAD+XOy4=")</f>
        <v>#REF!</v>
      </c>
      <c r="AV71" t="e">
        <f>AND(#REF!,"AAAAAD+XOy8=")</f>
        <v>#REF!</v>
      </c>
      <c r="AW71" t="e">
        <f>AND(#REF!,"AAAAAD+XOzA=")</f>
        <v>#REF!</v>
      </c>
      <c r="AX71" t="e">
        <f>AND(#REF!,"AAAAAD+XOzE=")</f>
        <v>#REF!</v>
      </c>
      <c r="AY71" t="e">
        <f>AND(#REF!,"AAAAAD+XOzI=")</f>
        <v>#REF!</v>
      </c>
      <c r="AZ71" t="e">
        <f>AND(#REF!,"AAAAAD+XOzM=")</f>
        <v>#REF!</v>
      </c>
      <c r="BA71" t="e">
        <f>AND(#REF!,"AAAAAD+XOzQ=")</f>
        <v>#REF!</v>
      </c>
      <c r="BB71" t="e">
        <f>AND(#REF!,"AAAAAD+XOzU=")</f>
        <v>#REF!</v>
      </c>
      <c r="BC71" t="e">
        <f>AND(#REF!,"AAAAAD+XOzY=")</f>
        <v>#REF!</v>
      </c>
      <c r="BD71" t="e">
        <f>AND(#REF!,"AAAAAD+XOzc=")</f>
        <v>#REF!</v>
      </c>
      <c r="BE71" t="e">
        <f>AND(#REF!,"AAAAAD+XOzg=")</f>
        <v>#REF!</v>
      </c>
      <c r="BF71" t="e">
        <f>AND(#REF!,"AAAAAD+XOzk=")</f>
        <v>#REF!</v>
      </c>
      <c r="BG71" t="e">
        <f>AND(#REF!,"AAAAAD+XOzo=")</f>
        <v>#REF!</v>
      </c>
      <c r="BH71" t="e">
        <f>AND(#REF!,"AAAAAD+XOzs=")</f>
        <v>#REF!</v>
      </c>
      <c r="BI71" t="e">
        <f>AND(#REF!,"AAAAAD+XOzw=")</f>
        <v>#REF!</v>
      </c>
      <c r="BJ71" t="e">
        <f>AND(#REF!,"AAAAAD+XOz0=")</f>
        <v>#REF!</v>
      </c>
      <c r="BK71" t="e">
        <f>AND(#REF!,"AAAAAD+XOz4=")</f>
        <v>#REF!</v>
      </c>
      <c r="BL71" t="e">
        <f>AND(#REF!,"AAAAAD+XOz8=")</f>
        <v>#REF!</v>
      </c>
      <c r="BM71" t="e">
        <f>AND(#REF!,"AAAAAD+XO0A=")</f>
        <v>#REF!</v>
      </c>
      <c r="BN71" t="e">
        <f>AND(#REF!,"AAAAAD+XO0E=")</f>
        <v>#REF!</v>
      </c>
      <c r="BO71" t="e">
        <f>AND(#REF!,"AAAAAD+XO0I=")</f>
        <v>#REF!</v>
      </c>
      <c r="BP71" t="e">
        <f>AND(#REF!,"AAAAAD+XO0M=")</f>
        <v>#REF!</v>
      </c>
      <c r="BQ71" t="e">
        <f>AND(#REF!,"AAAAAD+XO0Q=")</f>
        <v>#REF!</v>
      </c>
      <c r="BR71" t="e">
        <f>AND(#REF!,"AAAAAD+XO0U=")</f>
        <v>#REF!</v>
      </c>
      <c r="BS71" t="e">
        <f>AND(#REF!,"AAAAAD+XO0Y=")</f>
        <v>#REF!</v>
      </c>
      <c r="BT71" t="e">
        <f>AND(#REF!,"AAAAAD+XO0c=")</f>
        <v>#REF!</v>
      </c>
      <c r="BU71" t="e">
        <f>AND(#REF!,"AAAAAD+XO0g=")</f>
        <v>#REF!</v>
      </c>
      <c r="BV71" t="e">
        <f>AND(#REF!,"AAAAAD+XO0k=")</f>
        <v>#REF!</v>
      </c>
      <c r="BW71" t="e">
        <f>AND(#REF!,"AAAAAD+XO0o=")</f>
        <v>#REF!</v>
      </c>
      <c r="BX71" t="e">
        <f>AND(#REF!,"AAAAAD+XO0s=")</f>
        <v>#REF!</v>
      </c>
      <c r="BY71" t="e">
        <f>AND(#REF!,"AAAAAD+XO0w=")</f>
        <v>#REF!</v>
      </c>
      <c r="BZ71" t="e">
        <f>AND(#REF!,"AAAAAD+XO00=")</f>
        <v>#REF!</v>
      </c>
      <c r="CA71" t="e">
        <f>AND(#REF!,"AAAAAD+XO04=")</f>
        <v>#REF!</v>
      </c>
      <c r="CB71" t="e">
        <f>AND(#REF!,"AAAAAD+XO08=")</f>
        <v>#REF!</v>
      </c>
      <c r="CC71" t="e">
        <f>AND(#REF!,"AAAAAD+XO1A=")</f>
        <v>#REF!</v>
      </c>
      <c r="CD71" t="e">
        <f>AND(#REF!,"AAAAAD+XO1E=")</f>
        <v>#REF!</v>
      </c>
      <c r="CE71" t="e">
        <f>AND(#REF!,"AAAAAD+XO1I=")</f>
        <v>#REF!</v>
      </c>
      <c r="CF71" t="e">
        <f>AND(#REF!,"AAAAAD+XO1M=")</f>
        <v>#REF!</v>
      </c>
      <c r="CG71" t="e">
        <f>AND(#REF!,"AAAAAD+XO1Q=")</f>
        <v>#REF!</v>
      </c>
      <c r="CH71" t="e">
        <f>AND(#REF!,"AAAAAD+XO1U=")</f>
        <v>#REF!</v>
      </c>
      <c r="CI71" t="e">
        <f>AND(#REF!,"AAAAAD+XO1Y=")</f>
        <v>#REF!</v>
      </c>
      <c r="CJ71" t="e">
        <f>AND(#REF!,"AAAAAD+XO1c=")</f>
        <v>#REF!</v>
      </c>
      <c r="CK71" t="e">
        <f>AND(#REF!,"AAAAAD+XO1g=")</f>
        <v>#REF!</v>
      </c>
      <c r="CL71" t="e">
        <f>AND(#REF!,"AAAAAD+XO1k=")</f>
        <v>#REF!</v>
      </c>
      <c r="CM71" t="e">
        <f>AND(#REF!,"AAAAAD+XO1o=")</f>
        <v>#REF!</v>
      </c>
      <c r="CN71" t="e">
        <f>AND(#REF!,"AAAAAD+XO1s=")</f>
        <v>#REF!</v>
      </c>
      <c r="CO71" t="e">
        <f>AND(#REF!,"AAAAAD+XO1w=")</f>
        <v>#REF!</v>
      </c>
      <c r="CP71" t="e">
        <f>AND(#REF!,"AAAAAD+XO10=")</f>
        <v>#REF!</v>
      </c>
      <c r="CQ71" t="e">
        <f>AND(#REF!,"AAAAAD+XO14=")</f>
        <v>#REF!</v>
      </c>
      <c r="CR71" t="e">
        <f>AND(#REF!,"AAAAAD+XO18=")</f>
        <v>#REF!</v>
      </c>
      <c r="CS71" t="e">
        <f>AND(#REF!,"AAAAAD+XO2A=")</f>
        <v>#REF!</v>
      </c>
      <c r="CT71" t="e">
        <f>AND(#REF!,"AAAAAD+XO2E=")</f>
        <v>#REF!</v>
      </c>
      <c r="CU71" t="e">
        <f>AND(#REF!,"AAAAAD+XO2I=")</f>
        <v>#REF!</v>
      </c>
      <c r="CV71" t="e">
        <f>IF(#REF!,"AAAAAD+XO2M=",0)</f>
        <v>#REF!</v>
      </c>
      <c r="CW71" t="e">
        <f>AND(#REF!,"AAAAAD+XO2Q=")</f>
        <v>#REF!</v>
      </c>
      <c r="CX71" t="e">
        <f>AND(#REF!,"AAAAAD+XO2U=")</f>
        <v>#REF!</v>
      </c>
      <c r="CY71" t="e">
        <f>AND(#REF!,"AAAAAD+XO2Y=")</f>
        <v>#REF!</v>
      </c>
      <c r="CZ71" t="e">
        <f>AND(#REF!,"AAAAAD+XO2c=")</f>
        <v>#REF!</v>
      </c>
      <c r="DA71" t="e">
        <f>AND(#REF!,"AAAAAD+XO2g=")</f>
        <v>#REF!</v>
      </c>
      <c r="DB71" t="e">
        <f>AND(#REF!,"AAAAAD+XO2k=")</f>
        <v>#REF!</v>
      </c>
      <c r="DC71" t="e">
        <f>AND(#REF!,"AAAAAD+XO2o=")</f>
        <v>#REF!</v>
      </c>
      <c r="DD71" t="e">
        <f>AND(#REF!,"AAAAAD+XO2s=")</f>
        <v>#REF!</v>
      </c>
      <c r="DE71" t="e">
        <f>AND(#REF!,"AAAAAD+XO2w=")</f>
        <v>#REF!</v>
      </c>
      <c r="DF71" t="e">
        <f>AND(#REF!,"AAAAAD+XO20=")</f>
        <v>#REF!</v>
      </c>
      <c r="DG71" t="e">
        <f>AND(#REF!,"AAAAAD+XO24=")</f>
        <v>#REF!</v>
      </c>
      <c r="DH71" t="e">
        <f>AND(#REF!,"AAAAAD+XO28=")</f>
        <v>#REF!</v>
      </c>
      <c r="DI71" t="e">
        <f>AND(#REF!,"AAAAAD+XO3A=")</f>
        <v>#REF!</v>
      </c>
      <c r="DJ71" t="e">
        <f>AND(#REF!,"AAAAAD+XO3E=")</f>
        <v>#REF!</v>
      </c>
      <c r="DK71" t="e">
        <f>AND(#REF!,"AAAAAD+XO3I=")</f>
        <v>#REF!</v>
      </c>
      <c r="DL71" t="e">
        <f>AND(#REF!,"AAAAAD+XO3M=")</f>
        <v>#REF!</v>
      </c>
      <c r="DM71" t="e">
        <f>AND(#REF!,"AAAAAD+XO3Q=")</f>
        <v>#REF!</v>
      </c>
      <c r="DN71" t="e">
        <f>AND(#REF!,"AAAAAD+XO3U=")</f>
        <v>#REF!</v>
      </c>
      <c r="DO71" t="e">
        <f>AND(#REF!,"AAAAAD+XO3Y=")</f>
        <v>#REF!</v>
      </c>
      <c r="DP71" t="e">
        <f>AND(#REF!,"AAAAAD+XO3c=")</f>
        <v>#REF!</v>
      </c>
      <c r="DQ71" t="e">
        <f>AND(#REF!,"AAAAAD+XO3g=")</f>
        <v>#REF!</v>
      </c>
      <c r="DR71" t="e">
        <f>AND(#REF!,"AAAAAD+XO3k=")</f>
        <v>#REF!</v>
      </c>
      <c r="DS71" t="e">
        <f>AND(#REF!,"AAAAAD+XO3o=")</f>
        <v>#REF!</v>
      </c>
      <c r="DT71" t="e">
        <f>AND(#REF!,"AAAAAD+XO3s=")</f>
        <v>#REF!</v>
      </c>
      <c r="DU71" t="e">
        <f>AND(#REF!,"AAAAAD+XO3w=")</f>
        <v>#REF!</v>
      </c>
      <c r="DV71" t="e">
        <f>AND(#REF!,"AAAAAD+XO30=")</f>
        <v>#REF!</v>
      </c>
      <c r="DW71" t="e">
        <f>AND(#REF!,"AAAAAD+XO34=")</f>
        <v>#REF!</v>
      </c>
      <c r="DX71" t="e">
        <f>AND(#REF!,"AAAAAD+XO38=")</f>
        <v>#REF!</v>
      </c>
      <c r="DY71" t="e">
        <f>AND(#REF!,"AAAAAD+XO4A=")</f>
        <v>#REF!</v>
      </c>
      <c r="DZ71" t="e">
        <f>AND(#REF!,"AAAAAD+XO4E=")</f>
        <v>#REF!</v>
      </c>
      <c r="EA71" t="e">
        <f>AND(#REF!,"AAAAAD+XO4I=")</f>
        <v>#REF!</v>
      </c>
      <c r="EB71" t="e">
        <f>AND(#REF!,"AAAAAD+XO4M=")</f>
        <v>#REF!</v>
      </c>
      <c r="EC71" t="e">
        <f>AND(#REF!,"AAAAAD+XO4Q=")</f>
        <v>#REF!</v>
      </c>
      <c r="ED71" t="e">
        <f>AND(#REF!,"AAAAAD+XO4U=")</f>
        <v>#REF!</v>
      </c>
      <c r="EE71" t="e">
        <f>AND(#REF!,"AAAAAD+XO4Y=")</f>
        <v>#REF!</v>
      </c>
      <c r="EF71" t="e">
        <f>AND(#REF!,"AAAAAD+XO4c=")</f>
        <v>#REF!</v>
      </c>
      <c r="EG71" t="e">
        <f>AND(#REF!,"AAAAAD+XO4g=")</f>
        <v>#REF!</v>
      </c>
      <c r="EH71" t="e">
        <f>AND(#REF!,"AAAAAD+XO4k=")</f>
        <v>#REF!</v>
      </c>
      <c r="EI71" t="e">
        <f>AND(#REF!,"AAAAAD+XO4o=")</f>
        <v>#REF!</v>
      </c>
      <c r="EJ71" t="e">
        <f>AND(#REF!,"AAAAAD+XO4s=")</f>
        <v>#REF!</v>
      </c>
      <c r="EK71" t="e">
        <f>AND(#REF!,"AAAAAD+XO4w=")</f>
        <v>#REF!</v>
      </c>
      <c r="EL71" t="e">
        <f>AND(#REF!,"AAAAAD+XO40=")</f>
        <v>#REF!</v>
      </c>
      <c r="EM71" t="e">
        <f>AND(#REF!,"AAAAAD+XO44=")</f>
        <v>#REF!</v>
      </c>
      <c r="EN71" t="e">
        <f>AND(#REF!,"AAAAAD+XO48=")</f>
        <v>#REF!</v>
      </c>
      <c r="EO71" t="e">
        <f>AND(#REF!,"AAAAAD+XO5A=")</f>
        <v>#REF!</v>
      </c>
      <c r="EP71" t="e">
        <f>AND(#REF!,"AAAAAD+XO5E=")</f>
        <v>#REF!</v>
      </c>
      <c r="EQ71" t="e">
        <f>AND(#REF!,"AAAAAD+XO5I=")</f>
        <v>#REF!</v>
      </c>
      <c r="ER71" t="e">
        <f>AND(#REF!,"AAAAAD+XO5M=")</f>
        <v>#REF!</v>
      </c>
      <c r="ES71" t="e">
        <f>AND(#REF!,"AAAAAD+XO5Q=")</f>
        <v>#REF!</v>
      </c>
      <c r="ET71" t="e">
        <f>AND(#REF!,"AAAAAD+XO5U=")</f>
        <v>#REF!</v>
      </c>
      <c r="EU71" t="e">
        <f>AND(#REF!,"AAAAAD+XO5Y=")</f>
        <v>#REF!</v>
      </c>
      <c r="EV71" t="e">
        <f>AND(#REF!,"AAAAAD+XO5c=")</f>
        <v>#REF!</v>
      </c>
      <c r="EW71" t="e">
        <f>AND(#REF!,"AAAAAD+XO5g=")</f>
        <v>#REF!</v>
      </c>
      <c r="EX71" t="e">
        <f>AND(#REF!,"AAAAAD+XO5k=")</f>
        <v>#REF!</v>
      </c>
      <c r="EY71" t="e">
        <f>IF(#REF!,"AAAAAD+XO5o=",0)</f>
        <v>#REF!</v>
      </c>
      <c r="EZ71" t="e">
        <f>AND(#REF!,"AAAAAD+XO5s=")</f>
        <v>#REF!</v>
      </c>
      <c r="FA71" t="e">
        <f>AND(#REF!,"AAAAAD+XO5w=")</f>
        <v>#REF!</v>
      </c>
      <c r="FB71" t="e">
        <f>AND(#REF!,"AAAAAD+XO50=")</f>
        <v>#REF!</v>
      </c>
      <c r="FC71" t="e">
        <f>AND(#REF!,"AAAAAD+XO54=")</f>
        <v>#REF!</v>
      </c>
      <c r="FD71" t="e">
        <f>AND(#REF!,"AAAAAD+XO58=")</f>
        <v>#REF!</v>
      </c>
      <c r="FE71" t="e">
        <f>AND(#REF!,"AAAAAD+XO6A=")</f>
        <v>#REF!</v>
      </c>
      <c r="FF71" t="e">
        <f>AND(#REF!,"AAAAAD+XO6E=")</f>
        <v>#REF!</v>
      </c>
      <c r="FG71" t="e">
        <f>AND(#REF!,"AAAAAD+XO6I=")</f>
        <v>#REF!</v>
      </c>
      <c r="FH71" t="e">
        <f>AND(#REF!,"AAAAAD+XO6M=")</f>
        <v>#REF!</v>
      </c>
      <c r="FI71" t="e">
        <f>AND(#REF!,"AAAAAD+XO6Q=")</f>
        <v>#REF!</v>
      </c>
      <c r="FJ71" t="e">
        <f>AND(#REF!,"AAAAAD+XO6U=")</f>
        <v>#REF!</v>
      </c>
      <c r="FK71" t="e">
        <f>AND(#REF!,"AAAAAD+XO6Y=")</f>
        <v>#REF!</v>
      </c>
      <c r="FL71" t="e">
        <f>AND(#REF!,"AAAAAD+XO6c=")</f>
        <v>#REF!</v>
      </c>
      <c r="FM71" t="e">
        <f>AND(#REF!,"AAAAAD+XO6g=")</f>
        <v>#REF!</v>
      </c>
      <c r="FN71" t="e">
        <f>AND(#REF!,"AAAAAD+XO6k=")</f>
        <v>#REF!</v>
      </c>
      <c r="FO71" t="e">
        <f>AND(#REF!,"AAAAAD+XO6o=")</f>
        <v>#REF!</v>
      </c>
      <c r="FP71" t="e">
        <f>AND(#REF!,"AAAAAD+XO6s=")</f>
        <v>#REF!</v>
      </c>
      <c r="FQ71" t="e">
        <f>AND(#REF!,"AAAAAD+XO6w=")</f>
        <v>#REF!</v>
      </c>
      <c r="FR71" t="e">
        <f>AND(#REF!,"AAAAAD+XO60=")</f>
        <v>#REF!</v>
      </c>
      <c r="FS71" t="e">
        <f>AND(#REF!,"AAAAAD+XO64=")</f>
        <v>#REF!</v>
      </c>
      <c r="FT71" t="e">
        <f>AND(#REF!,"AAAAAD+XO68=")</f>
        <v>#REF!</v>
      </c>
      <c r="FU71" t="e">
        <f>AND(#REF!,"AAAAAD+XO7A=")</f>
        <v>#REF!</v>
      </c>
      <c r="FV71" t="e">
        <f>AND(#REF!,"AAAAAD+XO7E=")</f>
        <v>#REF!</v>
      </c>
      <c r="FW71" t="e">
        <f>AND(#REF!,"AAAAAD+XO7I=")</f>
        <v>#REF!</v>
      </c>
      <c r="FX71" t="e">
        <f>AND(#REF!,"AAAAAD+XO7M=")</f>
        <v>#REF!</v>
      </c>
      <c r="FY71" t="e">
        <f>AND(#REF!,"AAAAAD+XO7Q=")</f>
        <v>#REF!</v>
      </c>
      <c r="FZ71" t="e">
        <f>AND(#REF!,"AAAAAD+XO7U=")</f>
        <v>#REF!</v>
      </c>
      <c r="GA71" t="e">
        <f>AND(#REF!,"AAAAAD+XO7Y=")</f>
        <v>#REF!</v>
      </c>
      <c r="GB71" t="e">
        <f>AND(#REF!,"AAAAAD+XO7c=")</f>
        <v>#REF!</v>
      </c>
      <c r="GC71" t="e">
        <f>AND(#REF!,"AAAAAD+XO7g=")</f>
        <v>#REF!</v>
      </c>
      <c r="GD71" t="e">
        <f>AND(#REF!,"AAAAAD+XO7k=")</f>
        <v>#REF!</v>
      </c>
      <c r="GE71" t="e">
        <f>AND(#REF!,"AAAAAD+XO7o=")</f>
        <v>#REF!</v>
      </c>
      <c r="GF71" t="e">
        <f>AND(#REF!,"AAAAAD+XO7s=")</f>
        <v>#REF!</v>
      </c>
      <c r="GG71" t="e">
        <f>AND(#REF!,"AAAAAD+XO7w=")</f>
        <v>#REF!</v>
      </c>
      <c r="GH71" t="e">
        <f>AND(#REF!,"AAAAAD+XO70=")</f>
        <v>#REF!</v>
      </c>
      <c r="GI71" t="e">
        <f>AND(#REF!,"AAAAAD+XO74=")</f>
        <v>#REF!</v>
      </c>
      <c r="GJ71" t="e">
        <f>AND(#REF!,"AAAAAD+XO78=")</f>
        <v>#REF!</v>
      </c>
      <c r="GK71" t="e">
        <f>AND(#REF!,"AAAAAD+XO8A=")</f>
        <v>#REF!</v>
      </c>
      <c r="GL71" t="e">
        <f>AND(#REF!,"AAAAAD+XO8E=")</f>
        <v>#REF!</v>
      </c>
      <c r="GM71" t="e">
        <f>AND(#REF!,"AAAAAD+XO8I=")</f>
        <v>#REF!</v>
      </c>
      <c r="GN71" t="e">
        <f>AND(#REF!,"AAAAAD+XO8M=")</f>
        <v>#REF!</v>
      </c>
      <c r="GO71" t="e">
        <f>AND(#REF!,"AAAAAD+XO8Q=")</f>
        <v>#REF!</v>
      </c>
      <c r="GP71" t="e">
        <f>AND(#REF!,"AAAAAD+XO8U=")</f>
        <v>#REF!</v>
      </c>
      <c r="GQ71" t="e">
        <f>AND(#REF!,"AAAAAD+XO8Y=")</f>
        <v>#REF!</v>
      </c>
      <c r="GR71" t="e">
        <f>AND(#REF!,"AAAAAD+XO8c=")</f>
        <v>#REF!</v>
      </c>
      <c r="GS71" t="e">
        <f>AND(#REF!,"AAAAAD+XO8g=")</f>
        <v>#REF!</v>
      </c>
      <c r="GT71" t="e">
        <f>AND(#REF!,"AAAAAD+XO8k=")</f>
        <v>#REF!</v>
      </c>
      <c r="GU71" t="e">
        <f>AND(#REF!,"AAAAAD+XO8o=")</f>
        <v>#REF!</v>
      </c>
      <c r="GV71" t="e">
        <f>AND(#REF!,"AAAAAD+XO8s=")</f>
        <v>#REF!</v>
      </c>
      <c r="GW71" t="e">
        <f>AND(#REF!,"AAAAAD+XO8w=")</f>
        <v>#REF!</v>
      </c>
      <c r="GX71" t="e">
        <f>AND(#REF!,"AAAAAD+XO80=")</f>
        <v>#REF!</v>
      </c>
      <c r="GY71" t="e">
        <f>AND(#REF!,"AAAAAD+XO84=")</f>
        <v>#REF!</v>
      </c>
      <c r="GZ71" t="e">
        <f>AND(#REF!,"AAAAAD+XO88=")</f>
        <v>#REF!</v>
      </c>
      <c r="HA71" t="e">
        <f>AND(#REF!,"AAAAAD+XO9A=")</f>
        <v>#REF!</v>
      </c>
      <c r="HB71" t="e">
        <f>IF(#REF!,"AAAAAD+XO9E=",0)</f>
        <v>#REF!</v>
      </c>
      <c r="HC71" t="e">
        <f>AND(#REF!,"AAAAAD+XO9I=")</f>
        <v>#REF!</v>
      </c>
      <c r="HD71" t="e">
        <f>AND(#REF!,"AAAAAD+XO9M=")</f>
        <v>#REF!</v>
      </c>
      <c r="HE71" t="e">
        <f>AND(#REF!,"AAAAAD+XO9Q=")</f>
        <v>#REF!</v>
      </c>
      <c r="HF71" t="e">
        <f>AND(#REF!,"AAAAAD+XO9U=")</f>
        <v>#REF!</v>
      </c>
      <c r="HG71" t="e">
        <f>AND(#REF!,"AAAAAD+XO9Y=")</f>
        <v>#REF!</v>
      </c>
      <c r="HH71" t="e">
        <f>AND(#REF!,"AAAAAD+XO9c=")</f>
        <v>#REF!</v>
      </c>
      <c r="HI71" t="e">
        <f>AND(#REF!,"AAAAAD+XO9g=")</f>
        <v>#REF!</v>
      </c>
      <c r="HJ71" t="e">
        <f>AND(#REF!,"AAAAAD+XO9k=")</f>
        <v>#REF!</v>
      </c>
      <c r="HK71" t="e">
        <f>AND(#REF!,"AAAAAD+XO9o=")</f>
        <v>#REF!</v>
      </c>
      <c r="HL71" t="e">
        <f>AND(#REF!,"AAAAAD+XO9s=")</f>
        <v>#REF!</v>
      </c>
      <c r="HM71" t="e">
        <f>AND(#REF!,"AAAAAD+XO9w=")</f>
        <v>#REF!</v>
      </c>
      <c r="HN71" t="e">
        <f>AND(#REF!,"AAAAAD+XO90=")</f>
        <v>#REF!</v>
      </c>
      <c r="HO71" t="e">
        <f>AND(#REF!,"AAAAAD+XO94=")</f>
        <v>#REF!</v>
      </c>
      <c r="HP71" t="e">
        <f>AND(#REF!,"AAAAAD+XO98=")</f>
        <v>#REF!</v>
      </c>
      <c r="HQ71" t="e">
        <f>AND(#REF!,"AAAAAD+XO+A=")</f>
        <v>#REF!</v>
      </c>
      <c r="HR71" t="e">
        <f>AND(#REF!,"AAAAAD+XO+E=")</f>
        <v>#REF!</v>
      </c>
      <c r="HS71" t="e">
        <f>AND(#REF!,"AAAAAD+XO+I=")</f>
        <v>#REF!</v>
      </c>
      <c r="HT71" t="e">
        <f>AND(#REF!,"AAAAAD+XO+M=")</f>
        <v>#REF!</v>
      </c>
      <c r="HU71" t="e">
        <f>AND(#REF!,"AAAAAD+XO+Q=")</f>
        <v>#REF!</v>
      </c>
      <c r="HV71" t="e">
        <f>AND(#REF!,"AAAAAD+XO+U=")</f>
        <v>#REF!</v>
      </c>
      <c r="HW71" t="e">
        <f>AND(#REF!,"AAAAAD+XO+Y=")</f>
        <v>#REF!</v>
      </c>
      <c r="HX71" t="e">
        <f>AND(#REF!,"AAAAAD+XO+c=")</f>
        <v>#REF!</v>
      </c>
      <c r="HY71" t="e">
        <f>AND(#REF!,"AAAAAD+XO+g=")</f>
        <v>#REF!</v>
      </c>
      <c r="HZ71" t="e">
        <f>AND(#REF!,"AAAAAD+XO+k=")</f>
        <v>#REF!</v>
      </c>
      <c r="IA71" t="e">
        <f>AND(#REF!,"AAAAAD+XO+o=")</f>
        <v>#REF!</v>
      </c>
      <c r="IB71" t="e">
        <f>AND(#REF!,"AAAAAD+XO+s=")</f>
        <v>#REF!</v>
      </c>
      <c r="IC71" t="e">
        <f>AND(#REF!,"AAAAAD+XO+w=")</f>
        <v>#REF!</v>
      </c>
      <c r="ID71" t="e">
        <f>AND(#REF!,"AAAAAD+XO+0=")</f>
        <v>#REF!</v>
      </c>
      <c r="IE71" t="e">
        <f>AND(#REF!,"AAAAAD+XO+4=")</f>
        <v>#REF!</v>
      </c>
      <c r="IF71" t="e">
        <f>AND(#REF!,"AAAAAD+XO+8=")</f>
        <v>#REF!</v>
      </c>
      <c r="IG71" t="e">
        <f>AND(#REF!,"AAAAAD+XO/A=")</f>
        <v>#REF!</v>
      </c>
      <c r="IH71" t="e">
        <f>AND(#REF!,"AAAAAD+XO/E=")</f>
        <v>#REF!</v>
      </c>
      <c r="II71" t="e">
        <f>AND(#REF!,"AAAAAD+XO/I=")</f>
        <v>#REF!</v>
      </c>
      <c r="IJ71" t="e">
        <f>AND(#REF!,"AAAAAD+XO/M=")</f>
        <v>#REF!</v>
      </c>
      <c r="IK71" t="e">
        <f>AND(#REF!,"AAAAAD+XO/Q=")</f>
        <v>#REF!</v>
      </c>
      <c r="IL71" t="e">
        <f>AND(#REF!,"AAAAAD+XO/U=")</f>
        <v>#REF!</v>
      </c>
      <c r="IM71" t="e">
        <f>AND(#REF!,"AAAAAD+XO/Y=")</f>
        <v>#REF!</v>
      </c>
      <c r="IN71" t="e">
        <f>AND(#REF!,"AAAAAD+XO/c=")</f>
        <v>#REF!</v>
      </c>
      <c r="IO71" t="e">
        <f>AND(#REF!,"AAAAAD+XO/g=")</f>
        <v>#REF!</v>
      </c>
      <c r="IP71" t="e">
        <f>AND(#REF!,"AAAAAD+XO/k=")</f>
        <v>#REF!</v>
      </c>
      <c r="IQ71" t="e">
        <f>AND(#REF!,"AAAAAD+XO/o=")</f>
        <v>#REF!</v>
      </c>
      <c r="IR71" t="e">
        <f>AND(#REF!,"AAAAAD+XO/s=")</f>
        <v>#REF!</v>
      </c>
      <c r="IS71" t="e">
        <f>AND(#REF!,"AAAAAD+XO/w=")</f>
        <v>#REF!</v>
      </c>
      <c r="IT71" t="e">
        <f>AND(#REF!,"AAAAAD+XO/0=")</f>
        <v>#REF!</v>
      </c>
      <c r="IU71" t="e">
        <f>AND(#REF!,"AAAAAD+XO/4=")</f>
        <v>#REF!</v>
      </c>
      <c r="IV71" t="e">
        <f>AND(#REF!,"AAAAAD+XO/8=")</f>
        <v>#REF!</v>
      </c>
    </row>
    <row r="72" spans="1:256" x14ac:dyDescent="0.25">
      <c r="A72" t="e">
        <f>AND(#REF!,"AAAAAHeH/QA=")</f>
        <v>#REF!</v>
      </c>
      <c r="B72" t="e">
        <f>AND(#REF!,"AAAAAHeH/QE=")</f>
        <v>#REF!</v>
      </c>
      <c r="C72" t="e">
        <f>AND(#REF!,"AAAAAHeH/QI=")</f>
        <v>#REF!</v>
      </c>
      <c r="D72" t="e">
        <f>AND(#REF!,"AAAAAHeH/QM=")</f>
        <v>#REF!</v>
      </c>
      <c r="E72" t="e">
        <f>AND(#REF!,"AAAAAHeH/QQ=")</f>
        <v>#REF!</v>
      </c>
      <c r="F72" t="e">
        <f>AND(#REF!,"AAAAAHeH/QU=")</f>
        <v>#REF!</v>
      </c>
      <c r="G72" t="e">
        <f>AND(#REF!,"AAAAAHeH/QY=")</f>
        <v>#REF!</v>
      </c>
      <c r="H72" t="e">
        <f>AND(#REF!,"AAAAAHeH/Qc=")</f>
        <v>#REF!</v>
      </c>
      <c r="I72" t="e">
        <f>IF(#REF!,"AAAAAHeH/Qg=",0)</f>
        <v>#REF!</v>
      </c>
      <c r="J72" t="e">
        <f>AND(#REF!,"AAAAAHeH/Qk=")</f>
        <v>#REF!</v>
      </c>
      <c r="K72" t="e">
        <f>AND(#REF!,"AAAAAHeH/Qo=")</f>
        <v>#REF!</v>
      </c>
      <c r="L72" t="e">
        <f>AND(#REF!,"AAAAAHeH/Qs=")</f>
        <v>#REF!</v>
      </c>
      <c r="M72" t="e">
        <f>AND(#REF!,"AAAAAHeH/Qw=")</f>
        <v>#REF!</v>
      </c>
      <c r="N72" t="e">
        <f>AND(#REF!,"AAAAAHeH/Q0=")</f>
        <v>#REF!</v>
      </c>
      <c r="O72" t="e">
        <f>AND(#REF!,"AAAAAHeH/Q4=")</f>
        <v>#REF!</v>
      </c>
      <c r="P72" t="e">
        <f>AND(#REF!,"AAAAAHeH/Q8=")</f>
        <v>#REF!</v>
      </c>
      <c r="Q72" t="e">
        <f>AND(#REF!,"AAAAAHeH/RA=")</f>
        <v>#REF!</v>
      </c>
      <c r="R72" t="e">
        <f>AND(#REF!,"AAAAAHeH/RE=")</f>
        <v>#REF!</v>
      </c>
      <c r="S72" t="e">
        <f>AND(#REF!,"AAAAAHeH/RI=")</f>
        <v>#REF!</v>
      </c>
      <c r="T72" t="e">
        <f>AND(#REF!,"AAAAAHeH/RM=")</f>
        <v>#REF!</v>
      </c>
      <c r="U72" t="e">
        <f>AND(#REF!,"AAAAAHeH/RQ=")</f>
        <v>#REF!</v>
      </c>
      <c r="V72" t="e">
        <f>AND(#REF!,"AAAAAHeH/RU=")</f>
        <v>#REF!</v>
      </c>
      <c r="W72" t="e">
        <f>AND(#REF!,"AAAAAHeH/RY=")</f>
        <v>#REF!</v>
      </c>
      <c r="X72" t="e">
        <f>AND(#REF!,"AAAAAHeH/Rc=")</f>
        <v>#REF!</v>
      </c>
      <c r="Y72" t="e">
        <f>AND(#REF!,"AAAAAHeH/Rg=")</f>
        <v>#REF!</v>
      </c>
      <c r="Z72" t="e">
        <f>AND(#REF!,"AAAAAHeH/Rk=")</f>
        <v>#REF!</v>
      </c>
      <c r="AA72" t="e">
        <f>AND(#REF!,"AAAAAHeH/Ro=")</f>
        <v>#REF!</v>
      </c>
      <c r="AB72" t="e">
        <f>AND(#REF!,"AAAAAHeH/Rs=")</f>
        <v>#REF!</v>
      </c>
      <c r="AC72" t="e">
        <f>AND(#REF!,"AAAAAHeH/Rw=")</f>
        <v>#REF!</v>
      </c>
      <c r="AD72" t="e">
        <f>AND(#REF!,"AAAAAHeH/R0=")</f>
        <v>#REF!</v>
      </c>
      <c r="AE72" t="e">
        <f>AND(#REF!,"AAAAAHeH/R4=")</f>
        <v>#REF!</v>
      </c>
      <c r="AF72" t="e">
        <f>AND(#REF!,"AAAAAHeH/R8=")</f>
        <v>#REF!</v>
      </c>
      <c r="AG72" t="e">
        <f>AND(#REF!,"AAAAAHeH/SA=")</f>
        <v>#REF!</v>
      </c>
      <c r="AH72" t="e">
        <f>AND(#REF!,"AAAAAHeH/SE=")</f>
        <v>#REF!</v>
      </c>
      <c r="AI72" t="e">
        <f>AND(#REF!,"AAAAAHeH/SI=")</f>
        <v>#REF!</v>
      </c>
      <c r="AJ72" t="e">
        <f>AND(#REF!,"AAAAAHeH/SM=")</f>
        <v>#REF!</v>
      </c>
      <c r="AK72" t="e">
        <f>AND(#REF!,"AAAAAHeH/SQ=")</f>
        <v>#REF!</v>
      </c>
      <c r="AL72" t="e">
        <f>AND(#REF!,"AAAAAHeH/SU=")</f>
        <v>#REF!</v>
      </c>
      <c r="AM72" t="e">
        <f>AND(#REF!,"AAAAAHeH/SY=")</f>
        <v>#REF!</v>
      </c>
      <c r="AN72" t="e">
        <f>AND(#REF!,"AAAAAHeH/Sc=")</f>
        <v>#REF!</v>
      </c>
      <c r="AO72" t="e">
        <f>AND(#REF!,"AAAAAHeH/Sg=")</f>
        <v>#REF!</v>
      </c>
      <c r="AP72" t="e">
        <f>AND(#REF!,"AAAAAHeH/Sk=")</f>
        <v>#REF!</v>
      </c>
      <c r="AQ72" t="e">
        <f>AND(#REF!,"AAAAAHeH/So=")</f>
        <v>#REF!</v>
      </c>
      <c r="AR72" t="e">
        <f>AND(#REF!,"AAAAAHeH/Ss=")</f>
        <v>#REF!</v>
      </c>
      <c r="AS72" t="e">
        <f>AND(#REF!,"AAAAAHeH/Sw=")</f>
        <v>#REF!</v>
      </c>
      <c r="AT72" t="e">
        <f>AND(#REF!,"AAAAAHeH/S0=")</f>
        <v>#REF!</v>
      </c>
      <c r="AU72" t="e">
        <f>AND(#REF!,"AAAAAHeH/S4=")</f>
        <v>#REF!</v>
      </c>
      <c r="AV72" t="e">
        <f>AND(#REF!,"AAAAAHeH/S8=")</f>
        <v>#REF!</v>
      </c>
      <c r="AW72" t="e">
        <f>AND(#REF!,"AAAAAHeH/TA=")</f>
        <v>#REF!</v>
      </c>
      <c r="AX72" t="e">
        <f>AND(#REF!,"AAAAAHeH/TE=")</f>
        <v>#REF!</v>
      </c>
      <c r="AY72" t="e">
        <f>AND(#REF!,"AAAAAHeH/TI=")</f>
        <v>#REF!</v>
      </c>
      <c r="AZ72" t="e">
        <f>AND(#REF!,"AAAAAHeH/TM=")</f>
        <v>#REF!</v>
      </c>
      <c r="BA72" t="e">
        <f>AND(#REF!,"AAAAAHeH/TQ=")</f>
        <v>#REF!</v>
      </c>
      <c r="BB72" t="e">
        <f>AND(#REF!,"AAAAAHeH/TU=")</f>
        <v>#REF!</v>
      </c>
      <c r="BC72" t="e">
        <f>AND(#REF!,"AAAAAHeH/TY=")</f>
        <v>#REF!</v>
      </c>
      <c r="BD72" t="e">
        <f>AND(#REF!,"AAAAAHeH/Tc=")</f>
        <v>#REF!</v>
      </c>
      <c r="BE72" t="e">
        <f>AND(#REF!,"AAAAAHeH/Tg=")</f>
        <v>#REF!</v>
      </c>
      <c r="BF72" t="e">
        <f>AND(#REF!,"AAAAAHeH/Tk=")</f>
        <v>#REF!</v>
      </c>
      <c r="BG72" t="e">
        <f>AND(#REF!,"AAAAAHeH/To=")</f>
        <v>#REF!</v>
      </c>
      <c r="BH72" t="e">
        <f>AND(#REF!,"AAAAAHeH/Ts=")</f>
        <v>#REF!</v>
      </c>
      <c r="BI72" t="e">
        <f>AND(#REF!,"AAAAAHeH/Tw=")</f>
        <v>#REF!</v>
      </c>
      <c r="BJ72" t="e">
        <f>AND(#REF!,"AAAAAHeH/T0=")</f>
        <v>#REF!</v>
      </c>
      <c r="BK72" t="e">
        <f>AND(#REF!,"AAAAAHeH/T4=")</f>
        <v>#REF!</v>
      </c>
      <c r="BL72" t="e">
        <f>IF(#REF!,"AAAAAHeH/T8=",0)</f>
        <v>#REF!</v>
      </c>
      <c r="BM72" t="e">
        <f>AND(#REF!,"AAAAAHeH/UA=")</f>
        <v>#REF!</v>
      </c>
      <c r="BN72" t="e">
        <f>AND(#REF!,"AAAAAHeH/UE=")</f>
        <v>#REF!</v>
      </c>
      <c r="BO72" t="e">
        <f>AND(#REF!,"AAAAAHeH/UI=")</f>
        <v>#REF!</v>
      </c>
      <c r="BP72" t="e">
        <f>AND(#REF!,"AAAAAHeH/UM=")</f>
        <v>#REF!</v>
      </c>
      <c r="BQ72" t="e">
        <f>AND(#REF!,"AAAAAHeH/UQ=")</f>
        <v>#REF!</v>
      </c>
      <c r="BR72" t="e">
        <f>AND(#REF!,"AAAAAHeH/UU=")</f>
        <v>#REF!</v>
      </c>
      <c r="BS72" t="e">
        <f>AND(#REF!,"AAAAAHeH/UY=")</f>
        <v>#REF!</v>
      </c>
      <c r="BT72" t="e">
        <f>AND(#REF!,"AAAAAHeH/Uc=")</f>
        <v>#REF!</v>
      </c>
      <c r="BU72" t="e">
        <f>AND(#REF!,"AAAAAHeH/Ug=")</f>
        <v>#REF!</v>
      </c>
      <c r="BV72" t="e">
        <f>AND(#REF!,"AAAAAHeH/Uk=")</f>
        <v>#REF!</v>
      </c>
      <c r="BW72" t="e">
        <f>AND(#REF!,"AAAAAHeH/Uo=")</f>
        <v>#REF!</v>
      </c>
      <c r="BX72" t="e">
        <f>AND(#REF!,"AAAAAHeH/Us=")</f>
        <v>#REF!</v>
      </c>
      <c r="BY72" t="e">
        <f>AND(#REF!,"AAAAAHeH/Uw=")</f>
        <v>#REF!</v>
      </c>
      <c r="BZ72" t="e">
        <f>AND(#REF!,"AAAAAHeH/U0=")</f>
        <v>#REF!</v>
      </c>
      <c r="CA72" t="e">
        <f>AND(#REF!,"AAAAAHeH/U4=")</f>
        <v>#REF!</v>
      </c>
      <c r="CB72" t="e">
        <f>AND(#REF!,"AAAAAHeH/U8=")</f>
        <v>#REF!</v>
      </c>
      <c r="CC72" t="e">
        <f>AND(#REF!,"AAAAAHeH/VA=")</f>
        <v>#REF!</v>
      </c>
      <c r="CD72" t="e">
        <f>AND(#REF!,"AAAAAHeH/VE=")</f>
        <v>#REF!</v>
      </c>
      <c r="CE72" t="e">
        <f>AND(#REF!,"AAAAAHeH/VI=")</f>
        <v>#REF!</v>
      </c>
      <c r="CF72" t="e">
        <f>AND(#REF!,"AAAAAHeH/VM=")</f>
        <v>#REF!</v>
      </c>
      <c r="CG72" t="e">
        <f>AND(#REF!,"AAAAAHeH/VQ=")</f>
        <v>#REF!</v>
      </c>
      <c r="CH72" t="e">
        <f>AND(#REF!,"AAAAAHeH/VU=")</f>
        <v>#REF!</v>
      </c>
      <c r="CI72" t="e">
        <f>AND(#REF!,"AAAAAHeH/VY=")</f>
        <v>#REF!</v>
      </c>
      <c r="CJ72" t="e">
        <f>AND(#REF!,"AAAAAHeH/Vc=")</f>
        <v>#REF!</v>
      </c>
      <c r="CK72" t="e">
        <f>AND(#REF!,"AAAAAHeH/Vg=")</f>
        <v>#REF!</v>
      </c>
      <c r="CL72" t="e">
        <f>AND(#REF!,"AAAAAHeH/Vk=")</f>
        <v>#REF!</v>
      </c>
      <c r="CM72" t="e">
        <f>AND(#REF!,"AAAAAHeH/Vo=")</f>
        <v>#REF!</v>
      </c>
      <c r="CN72" t="e">
        <f>AND(#REF!,"AAAAAHeH/Vs=")</f>
        <v>#REF!</v>
      </c>
      <c r="CO72" t="e">
        <f>AND(#REF!,"AAAAAHeH/Vw=")</f>
        <v>#REF!</v>
      </c>
      <c r="CP72" t="e">
        <f>AND(#REF!,"AAAAAHeH/V0=")</f>
        <v>#REF!</v>
      </c>
      <c r="CQ72" t="e">
        <f>AND(#REF!,"AAAAAHeH/V4=")</f>
        <v>#REF!</v>
      </c>
      <c r="CR72" t="e">
        <f>AND(#REF!,"AAAAAHeH/V8=")</f>
        <v>#REF!</v>
      </c>
      <c r="CS72" t="e">
        <f>AND(#REF!,"AAAAAHeH/WA=")</f>
        <v>#REF!</v>
      </c>
      <c r="CT72" t="e">
        <f>AND(#REF!,"AAAAAHeH/WE=")</f>
        <v>#REF!</v>
      </c>
      <c r="CU72" t="e">
        <f>AND(#REF!,"AAAAAHeH/WI=")</f>
        <v>#REF!</v>
      </c>
      <c r="CV72" t="e">
        <f>AND(#REF!,"AAAAAHeH/WM=")</f>
        <v>#REF!</v>
      </c>
      <c r="CW72" t="e">
        <f>AND(#REF!,"AAAAAHeH/WQ=")</f>
        <v>#REF!</v>
      </c>
      <c r="CX72" t="e">
        <f>AND(#REF!,"AAAAAHeH/WU=")</f>
        <v>#REF!</v>
      </c>
      <c r="CY72" t="e">
        <f>AND(#REF!,"AAAAAHeH/WY=")</f>
        <v>#REF!</v>
      </c>
      <c r="CZ72" t="e">
        <f>AND(#REF!,"AAAAAHeH/Wc=")</f>
        <v>#REF!</v>
      </c>
      <c r="DA72" t="e">
        <f>AND(#REF!,"AAAAAHeH/Wg=")</f>
        <v>#REF!</v>
      </c>
      <c r="DB72" t="e">
        <f>AND(#REF!,"AAAAAHeH/Wk=")</f>
        <v>#REF!</v>
      </c>
      <c r="DC72" t="e">
        <f>AND(#REF!,"AAAAAHeH/Wo=")</f>
        <v>#REF!</v>
      </c>
      <c r="DD72" t="e">
        <f>AND(#REF!,"AAAAAHeH/Ws=")</f>
        <v>#REF!</v>
      </c>
      <c r="DE72" t="e">
        <f>AND(#REF!,"AAAAAHeH/Ww=")</f>
        <v>#REF!</v>
      </c>
      <c r="DF72" t="e">
        <f>AND(#REF!,"AAAAAHeH/W0=")</f>
        <v>#REF!</v>
      </c>
      <c r="DG72" t="e">
        <f>AND(#REF!,"AAAAAHeH/W4=")</f>
        <v>#REF!</v>
      </c>
      <c r="DH72" t="e">
        <f>AND(#REF!,"AAAAAHeH/W8=")</f>
        <v>#REF!</v>
      </c>
      <c r="DI72" t="e">
        <f>AND(#REF!,"AAAAAHeH/XA=")</f>
        <v>#REF!</v>
      </c>
      <c r="DJ72" t="e">
        <f>AND(#REF!,"AAAAAHeH/XE=")</f>
        <v>#REF!</v>
      </c>
      <c r="DK72" t="e">
        <f>AND(#REF!,"AAAAAHeH/XI=")</f>
        <v>#REF!</v>
      </c>
      <c r="DL72" t="e">
        <f>AND(#REF!,"AAAAAHeH/XM=")</f>
        <v>#REF!</v>
      </c>
      <c r="DM72" t="e">
        <f>AND(#REF!,"AAAAAHeH/XQ=")</f>
        <v>#REF!</v>
      </c>
      <c r="DN72" t="e">
        <f>AND(#REF!,"AAAAAHeH/XU=")</f>
        <v>#REF!</v>
      </c>
      <c r="DO72" t="e">
        <f>IF(#REF!,"AAAAAHeH/XY=",0)</f>
        <v>#REF!</v>
      </c>
      <c r="DP72" t="e">
        <f>AND(#REF!,"AAAAAHeH/Xc=")</f>
        <v>#REF!</v>
      </c>
      <c r="DQ72" t="e">
        <f>AND(#REF!,"AAAAAHeH/Xg=")</f>
        <v>#REF!</v>
      </c>
      <c r="DR72" t="e">
        <f>AND(#REF!,"AAAAAHeH/Xk=")</f>
        <v>#REF!</v>
      </c>
      <c r="DS72" t="e">
        <f>AND(#REF!,"AAAAAHeH/Xo=")</f>
        <v>#REF!</v>
      </c>
      <c r="DT72" t="e">
        <f>AND(#REF!,"AAAAAHeH/Xs=")</f>
        <v>#REF!</v>
      </c>
      <c r="DU72" t="e">
        <f>AND(#REF!,"AAAAAHeH/Xw=")</f>
        <v>#REF!</v>
      </c>
      <c r="DV72" t="e">
        <f>AND(#REF!,"AAAAAHeH/X0=")</f>
        <v>#REF!</v>
      </c>
      <c r="DW72" t="e">
        <f>AND(#REF!,"AAAAAHeH/X4=")</f>
        <v>#REF!</v>
      </c>
      <c r="DX72" t="e">
        <f>AND(#REF!,"AAAAAHeH/X8=")</f>
        <v>#REF!</v>
      </c>
      <c r="DY72" t="e">
        <f>AND(#REF!,"AAAAAHeH/YA=")</f>
        <v>#REF!</v>
      </c>
      <c r="DZ72" t="e">
        <f>AND(#REF!,"AAAAAHeH/YE=")</f>
        <v>#REF!</v>
      </c>
      <c r="EA72" t="e">
        <f>AND(#REF!,"AAAAAHeH/YI=")</f>
        <v>#REF!</v>
      </c>
      <c r="EB72" t="e">
        <f>AND(#REF!,"AAAAAHeH/YM=")</f>
        <v>#REF!</v>
      </c>
      <c r="EC72" t="e">
        <f>AND(#REF!,"AAAAAHeH/YQ=")</f>
        <v>#REF!</v>
      </c>
      <c r="ED72" t="e">
        <f>AND(#REF!,"AAAAAHeH/YU=")</f>
        <v>#REF!</v>
      </c>
      <c r="EE72" t="e">
        <f>AND(#REF!,"AAAAAHeH/YY=")</f>
        <v>#REF!</v>
      </c>
      <c r="EF72" t="e">
        <f>AND(#REF!,"AAAAAHeH/Yc=")</f>
        <v>#REF!</v>
      </c>
      <c r="EG72" t="e">
        <f>AND(#REF!,"AAAAAHeH/Yg=")</f>
        <v>#REF!</v>
      </c>
      <c r="EH72" t="e">
        <f>AND(#REF!,"AAAAAHeH/Yk=")</f>
        <v>#REF!</v>
      </c>
      <c r="EI72" t="e">
        <f>AND(#REF!,"AAAAAHeH/Yo=")</f>
        <v>#REF!</v>
      </c>
      <c r="EJ72" t="e">
        <f>AND(#REF!,"AAAAAHeH/Ys=")</f>
        <v>#REF!</v>
      </c>
      <c r="EK72" t="e">
        <f>AND(#REF!,"AAAAAHeH/Yw=")</f>
        <v>#REF!</v>
      </c>
      <c r="EL72" t="e">
        <f>AND(#REF!,"AAAAAHeH/Y0=")</f>
        <v>#REF!</v>
      </c>
      <c r="EM72" t="e">
        <f>AND(#REF!,"AAAAAHeH/Y4=")</f>
        <v>#REF!</v>
      </c>
      <c r="EN72" t="e">
        <f>AND(#REF!,"AAAAAHeH/Y8=")</f>
        <v>#REF!</v>
      </c>
      <c r="EO72" t="e">
        <f>AND(#REF!,"AAAAAHeH/ZA=")</f>
        <v>#REF!</v>
      </c>
      <c r="EP72" t="e">
        <f>AND(#REF!,"AAAAAHeH/ZE=")</f>
        <v>#REF!</v>
      </c>
      <c r="EQ72" t="e">
        <f>AND(#REF!,"AAAAAHeH/ZI=")</f>
        <v>#REF!</v>
      </c>
      <c r="ER72" t="e">
        <f>AND(#REF!,"AAAAAHeH/ZM=")</f>
        <v>#REF!</v>
      </c>
      <c r="ES72" t="e">
        <f>AND(#REF!,"AAAAAHeH/ZQ=")</f>
        <v>#REF!</v>
      </c>
      <c r="ET72" t="e">
        <f>AND(#REF!,"AAAAAHeH/ZU=")</f>
        <v>#REF!</v>
      </c>
      <c r="EU72" t="e">
        <f>AND(#REF!,"AAAAAHeH/ZY=")</f>
        <v>#REF!</v>
      </c>
      <c r="EV72" t="e">
        <f>AND(#REF!,"AAAAAHeH/Zc=")</f>
        <v>#REF!</v>
      </c>
      <c r="EW72" t="e">
        <f>AND(#REF!,"AAAAAHeH/Zg=")</f>
        <v>#REF!</v>
      </c>
      <c r="EX72" t="e">
        <f>AND(#REF!,"AAAAAHeH/Zk=")</f>
        <v>#REF!</v>
      </c>
      <c r="EY72" t="e">
        <f>AND(#REF!,"AAAAAHeH/Zo=")</f>
        <v>#REF!</v>
      </c>
      <c r="EZ72" t="e">
        <f>AND(#REF!,"AAAAAHeH/Zs=")</f>
        <v>#REF!</v>
      </c>
      <c r="FA72" t="e">
        <f>AND(#REF!,"AAAAAHeH/Zw=")</f>
        <v>#REF!</v>
      </c>
      <c r="FB72" t="e">
        <f>AND(#REF!,"AAAAAHeH/Z0=")</f>
        <v>#REF!</v>
      </c>
      <c r="FC72" t="e">
        <f>AND(#REF!,"AAAAAHeH/Z4=")</f>
        <v>#REF!</v>
      </c>
      <c r="FD72" t="e">
        <f>AND(#REF!,"AAAAAHeH/Z8=")</f>
        <v>#REF!</v>
      </c>
      <c r="FE72" t="e">
        <f>AND(#REF!,"AAAAAHeH/aA=")</f>
        <v>#REF!</v>
      </c>
      <c r="FF72" t="e">
        <f>AND(#REF!,"AAAAAHeH/aE=")</f>
        <v>#REF!</v>
      </c>
      <c r="FG72" t="e">
        <f>AND(#REF!,"AAAAAHeH/aI=")</f>
        <v>#REF!</v>
      </c>
      <c r="FH72" t="e">
        <f>AND(#REF!,"AAAAAHeH/aM=")</f>
        <v>#REF!</v>
      </c>
      <c r="FI72" t="e">
        <f>AND(#REF!,"AAAAAHeH/aQ=")</f>
        <v>#REF!</v>
      </c>
      <c r="FJ72" t="e">
        <f>AND(#REF!,"AAAAAHeH/aU=")</f>
        <v>#REF!</v>
      </c>
      <c r="FK72" t="e">
        <f>AND(#REF!,"AAAAAHeH/aY=")</f>
        <v>#REF!</v>
      </c>
      <c r="FL72" t="e">
        <f>AND(#REF!,"AAAAAHeH/ac=")</f>
        <v>#REF!</v>
      </c>
      <c r="FM72" t="e">
        <f>AND(#REF!,"AAAAAHeH/ag=")</f>
        <v>#REF!</v>
      </c>
      <c r="FN72" t="e">
        <f>AND(#REF!,"AAAAAHeH/ak=")</f>
        <v>#REF!</v>
      </c>
      <c r="FO72" t="e">
        <f>AND(#REF!,"AAAAAHeH/ao=")</f>
        <v>#REF!</v>
      </c>
      <c r="FP72" t="e">
        <f>AND(#REF!,"AAAAAHeH/as=")</f>
        <v>#REF!</v>
      </c>
      <c r="FQ72" t="e">
        <f>AND(#REF!,"AAAAAHeH/aw=")</f>
        <v>#REF!</v>
      </c>
      <c r="FR72" t="e">
        <f>IF(#REF!,"AAAAAHeH/a0=",0)</f>
        <v>#REF!</v>
      </c>
      <c r="FS72" t="e">
        <f>AND(#REF!,"AAAAAHeH/a4=")</f>
        <v>#REF!</v>
      </c>
      <c r="FT72" t="e">
        <f>AND(#REF!,"AAAAAHeH/a8=")</f>
        <v>#REF!</v>
      </c>
      <c r="FU72" t="e">
        <f>AND(#REF!,"AAAAAHeH/bA=")</f>
        <v>#REF!</v>
      </c>
      <c r="FV72" t="e">
        <f>AND(#REF!,"AAAAAHeH/bE=")</f>
        <v>#REF!</v>
      </c>
      <c r="FW72" t="e">
        <f>AND(#REF!,"AAAAAHeH/bI=")</f>
        <v>#REF!</v>
      </c>
      <c r="FX72" t="e">
        <f>AND(#REF!,"AAAAAHeH/bM=")</f>
        <v>#REF!</v>
      </c>
      <c r="FY72" t="e">
        <f>AND(#REF!,"AAAAAHeH/bQ=")</f>
        <v>#REF!</v>
      </c>
      <c r="FZ72" t="e">
        <f>AND(#REF!,"AAAAAHeH/bU=")</f>
        <v>#REF!</v>
      </c>
      <c r="GA72" t="e">
        <f>AND(#REF!,"AAAAAHeH/bY=")</f>
        <v>#REF!</v>
      </c>
      <c r="GB72" t="e">
        <f>AND(#REF!,"AAAAAHeH/bc=")</f>
        <v>#REF!</v>
      </c>
      <c r="GC72" t="e">
        <f>AND(#REF!,"AAAAAHeH/bg=")</f>
        <v>#REF!</v>
      </c>
      <c r="GD72" t="e">
        <f>AND(#REF!,"AAAAAHeH/bk=")</f>
        <v>#REF!</v>
      </c>
      <c r="GE72" t="e">
        <f>AND(#REF!,"AAAAAHeH/bo=")</f>
        <v>#REF!</v>
      </c>
      <c r="GF72" t="e">
        <f>AND(#REF!,"AAAAAHeH/bs=")</f>
        <v>#REF!</v>
      </c>
      <c r="GG72" t="e">
        <f>AND(#REF!,"AAAAAHeH/bw=")</f>
        <v>#REF!</v>
      </c>
      <c r="GH72" t="e">
        <f>AND(#REF!,"AAAAAHeH/b0=")</f>
        <v>#REF!</v>
      </c>
      <c r="GI72" t="e">
        <f>AND(#REF!,"AAAAAHeH/b4=")</f>
        <v>#REF!</v>
      </c>
      <c r="GJ72" t="e">
        <f>AND(#REF!,"AAAAAHeH/b8=")</f>
        <v>#REF!</v>
      </c>
      <c r="GK72" t="e">
        <f>AND(#REF!,"AAAAAHeH/cA=")</f>
        <v>#REF!</v>
      </c>
      <c r="GL72" t="e">
        <f>AND(#REF!,"AAAAAHeH/cE=")</f>
        <v>#REF!</v>
      </c>
      <c r="GM72" t="e">
        <f>AND(#REF!,"AAAAAHeH/cI=")</f>
        <v>#REF!</v>
      </c>
      <c r="GN72" t="e">
        <f>AND(#REF!,"AAAAAHeH/cM=")</f>
        <v>#REF!</v>
      </c>
      <c r="GO72" t="e">
        <f>AND(#REF!,"AAAAAHeH/cQ=")</f>
        <v>#REF!</v>
      </c>
      <c r="GP72" t="e">
        <f>AND(#REF!,"AAAAAHeH/cU=")</f>
        <v>#REF!</v>
      </c>
      <c r="GQ72" t="e">
        <f>AND(#REF!,"AAAAAHeH/cY=")</f>
        <v>#REF!</v>
      </c>
      <c r="GR72" t="e">
        <f>AND(#REF!,"AAAAAHeH/cc=")</f>
        <v>#REF!</v>
      </c>
      <c r="GS72" t="e">
        <f>AND(#REF!,"AAAAAHeH/cg=")</f>
        <v>#REF!</v>
      </c>
      <c r="GT72" t="e">
        <f>AND(#REF!,"AAAAAHeH/ck=")</f>
        <v>#REF!</v>
      </c>
      <c r="GU72" t="e">
        <f>AND(#REF!,"AAAAAHeH/co=")</f>
        <v>#REF!</v>
      </c>
      <c r="GV72" t="e">
        <f>AND(#REF!,"AAAAAHeH/cs=")</f>
        <v>#REF!</v>
      </c>
      <c r="GW72" t="e">
        <f>AND(#REF!,"AAAAAHeH/cw=")</f>
        <v>#REF!</v>
      </c>
      <c r="GX72" t="e">
        <f>AND(#REF!,"AAAAAHeH/c0=")</f>
        <v>#REF!</v>
      </c>
      <c r="GY72" t="e">
        <f>AND(#REF!,"AAAAAHeH/c4=")</f>
        <v>#REF!</v>
      </c>
      <c r="GZ72" t="e">
        <f>AND(#REF!,"AAAAAHeH/c8=")</f>
        <v>#REF!</v>
      </c>
      <c r="HA72" t="e">
        <f>AND(#REF!,"AAAAAHeH/dA=")</f>
        <v>#REF!</v>
      </c>
      <c r="HB72" t="e">
        <f>AND(#REF!,"AAAAAHeH/dE=")</f>
        <v>#REF!</v>
      </c>
      <c r="HC72" t="e">
        <f>AND(#REF!,"AAAAAHeH/dI=")</f>
        <v>#REF!</v>
      </c>
      <c r="HD72" t="e">
        <f>AND(#REF!,"AAAAAHeH/dM=")</f>
        <v>#REF!</v>
      </c>
      <c r="HE72" t="e">
        <f>AND(#REF!,"AAAAAHeH/dQ=")</f>
        <v>#REF!</v>
      </c>
      <c r="HF72" t="e">
        <f>AND(#REF!,"AAAAAHeH/dU=")</f>
        <v>#REF!</v>
      </c>
      <c r="HG72" t="e">
        <f>AND(#REF!,"AAAAAHeH/dY=")</f>
        <v>#REF!</v>
      </c>
      <c r="HH72" t="e">
        <f>AND(#REF!,"AAAAAHeH/dc=")</f>
        <v>#REF!</v>
      </c>
      <c r="HI72" t="e">
        <f>AND(#REF!,"AAAAAHeH/dg=")</f>
        <v>#REF!</v>
      </c>
      <c r="HJ72" t="e">
        <f>AND(#REF!,"AAAAAHeH/dk=")</f>
        <v>#REF!</v>
      </c>
      <c r="HK72" t="e">
        <f>AND(#REF!,"AAAAAHeH/do=")</f>
        <v>#REF!</v>
      </c>
      <c r="HL72" t="e">
        <f>AND(#REF!,"AAAAAHeH/ds=")</f>
        <v>#REF!</v>
      </c>
      <c r="HM72" t="e">
        <f>AND(#REF!,"AAAAAHeH/dw=")</f>
        <v>#REF!</v>
      </c>
      <c r="HN72" t="e">
        <f>AND(#REF!,"AAAAAHeH/d0=")</f>
        <v>#REF!</v>
      </c>
      <c r="HO72" t="e">
        <f>AND(#REF!,"AAAAAHeH/d4=")</f>
        <v>#REF!</v>
      </c>
      <c r="HP72" t="e">
        <f>AND(#REF!,"AAAAAHeH/d8=")</f>
        <v>#REF!</v>
      </c>
      <c r="HQ72" t="e">
        <f>AND(#REF!,"AAAAAHeH/eA=")</f>
        <v>#REF!</v>
      </c>
      <c r="HR72" t="e">
        <f>AND(#REF!,"AAAAAHeH/eE=")</f>
        <v>#REF!</v>
      </c>
      <c r="HS72" t="e">
        <f>AND(#REF!,"AAAAAHeH/eI=")</f>
        <v>#REF!</v>
      </c>
      <c r="HT72" t="e">
        <f>AND(#REF!,"AAAAAHeH/eM=")</f>
        <v>#REF!</v>
      </c>
      <c r="HU72" t="e">
        <f>IF(#REF!,"AAAAAHeH/eQ=",0)</f>
        <v>#REF!</v>
      </c>
      <c r="HV72" t="e">
        <f>AND(#REF!,"AAAAAHeH/eU=")</f>
        <v>#REF!</v>
      </c>
      <c r="HW72" t="e">
        <f>AND(#REF!,"AAAAAHeH/eY=")</f>
        <v>#REF!</v>
      </c>
      <c r="HX72" t="e">
        <f>AND(#REF!,"AAAAAHeH/ec=")</f>
        <v>#REF!</v>
      </c>
      <c r="HY72" t="e">
        <f>AND(#REF!,"AAAAAHeH/eg=")</f>
        <v>#REF!</v>
      </c>
      <c r="HZ72" t="e">
        <f>AND(#REF!,"AAAAAHeH/ek=")</f>
        <v>#REF!</v>
      </c>
      <c r="IA72" t="e">
        <f>AND(#REF!,"AAAAAHeH/eo=")</f>
        <v>#REF!</v>
      </c>
      <c r="IB72" t="e">
        <f>AND(#REF!,"AAAAAHeH/es=")</f>
        <v>#REF!</v>
      </c>
      <c r="IC72" t="e">
        <f>AND(#REF!,"AAAAAHeH/ew=")</f>
        <v>#REF!</v>
      </c>
      <c r="ID72" t="e">
        <f>AND(#REF!,"AAAAAHeH/e0=")</f>
        <v>#REF!</v>
      </c>
      <c r="IE72" t="e">
        <f>AND(#REF!,"AAAAAHeH/e4=")</f>
        <v>#REF!</v>
      </c>
      <c r="IF72" t="e">
        <f>AND(#REF!,"AAAAAHeH/e8=")</f>
        <v>#REF!</v>
      </c>
      <c r="IG72" t="e">
        <f>AND(#REF!,"AAAAAHeH/fA=")</f>
        <v>#REF!</v>
      </c>
      <c r="IH72" t="e">
        <f>AND(#REF!,"AAAAAHeH/fE=")</f>
        <v>#REF!</v>
      </c>
      <c r="II72" t="e">
        <f>AND(#REF!,"AAAAAHeH/fI=")</f>
        <v>#REF!</v>
      </c>
      <c r="IJ72" t="e">
        <f>AND(#REF!,"AAAAAHeH/fM=")</f>
        <v>#REF!</v>
      </c>
      <c r="IK72" t="e">
        <f>AND(#REF!,"AAAAAHeH/fQ=")</f>
        <v>#REF!</v>
      </c>
      <c r="IL72" t="e">
        <f>AND(#REF!,"AAAAAHeH/fU=")</f>
        <v>#REF!</v>
      </c>
      <c r="IM72" t="e">
        <f>AND(#REF!,"AAAAAHeH/fY=")</f>
        <v>#REF!</v>
      </c>
      <c r="IN72" t="e">
        <f>AND(#REF!,"AAAAAHeH/fc=")</f>
        <v>#REF!</v>
      </c>
      <c r="IO72" t="e">
        <f>AND(#REF!,"AAAAAHeH/fg=")</f>
        <v>#REF!</v>
      </c>
      <c r="IP72" t="e">
        <f>AND(#REF!,"AAAAAHeH/fk=")</f>
        <v>#REF!</v>
      </c>
      <c r="IQ72" t="e">
        <f>AND(#REF!,"AAAAAHeH/fo=")</f>
        <v>#REF!</v>
      </c>
      <c r="IR72" t="e">
        <f>AND(#REF!,"AAAAAHeH/fs=")</f>
        <v>#REF!</v>
      </c>
      <c r="IS72" t="e">
        <f>AND(#REF!,"AAAAAHeH/fw=")</f>
        <v>#REF!</v>
      </c>
      <c r="IT72" t="e">
        <f>AND(#REF!,"AAAAAHeH/f0=")</f>
        <v>#REF!</v>
      </c>
      <c r="IU72" t="e">
        <f>AND(#REF!,"AAAAAHeH/f4=")</f>
        <v>#REF!</v>
      </c>
      <c r="IV72" t="e">
        <f>AND(#REF!,"AAAAAHeH/f8=")</f>
        <v>#REF!</v>
      </c>
    </row>
    <row r="73" spans="1:256" x14ac:dyDescent="0.25">
      <c r="A73" t="e">
        <f>AND(#REF!,"AAAAAHv99wA=")</f>
        <v>#REF!</v>
      </c>
      <c r="B73" t="e">
        <f>AND(#REF!,"AAAAAHv99wE=")</f>
        <v>#REF!</v>
      </c>
      <c r="C73" t="e">
        <f>AND(#REF!,"AAAAAHv99wI=")</f>
        <v>#REF!</v>
      </c>
      <c r="D73" t="e">
        <f>AND(#REF!,"AAAAAHv99wM=")</f>
        <v>#REF!</v>
      </c>
      <c r="E73" t="e">
        <f>AND(#REF!,"AAAAAHv99wQ=")</f>
        <v>#REF!</v>
      </c>
      <c r="F73" t="e">
        <f>AND(#REF!,"AAAAAHv99wU=")</f>
        <v>#REF!</v>
      </c>
      <c r="G73" t="e">
        <f>AND(#REF!,"AAAAAHv99wY=")</f>
        <v>#REF!</v>
      </c>
      <c r="H73" t="e">
        <f>AND(#REF!,"AAAAAHv99wc=")</f>
        <v>#REF!</v>
      </c>
      <c r="I73" t="e">
        <f>AND(#REF!,"AAAAAHv99wg=")</f>
        <v>#REF!</v>
      </c>
      <c r="J73" t="e">
        <f>AND(#REF!,"AAAAAHv99wk=")</f>
        <v>#REF!</v>
      </c>
      <c r="K73" t="e">
        <f>AND(#REF!,"AAAAAHv99wo=")</f>
        <v>#REF!</v>
      </c>
      <c r="L73" t="e">
        <f>AND(#REF!,"AAAAAHv99ws=")</f>
        <v>#REF!</v>
      </c>
      <c r="M73" t="e">
        <f>AND(#REF!,"AAAAAHv99ww=")</f>
        <v>#REF!</v>
      </c>
      <c r="N73" t="e">
        <f>AND(#REF!,"AAAAAHv99w0=")</f>
        <v>#REF!</v>
      </c>
      <c r="O73" t="e">
        <f>AND(#REF!,"AAAAAHv99w4=")</f>
        <v>#REF!</v>
      </c>
      <c r="P73" t="e">
        <f>AND(#REF!,"AAAAAHv99w8=")</f>
        <v>#REF!</v>
      </c>
      <c r="Q73" t="e">
        <f>AND(#REF!,"AAAAAHv99xA=")</f>
        <v>#REF!</v>
      </c>
      <c r="R73" t="e">
        <f>AND(#REF!,"AAAAAHv99xE=")</f>
        <v>#REF!</v>
      </c>
      <c r="S73" t="e">
        <f>AND(#REF!,"AAAAAHv99xI=")</f>
        <v>#REF!</v>
      </c>
      <c r="T73" t="e">
        <f>AND(#REF!,"AAAAAHv99xM=")</f>
        <v>#REF!</v>
      </c>
      <c r="U73" t="e">
        <f>AND(#REF!,"AAAAAHv99xQ=")</f>
        <v>#REF!</v>
      </c>
      <c r="V73" t="e">
        <f>AND(#REF!,"AAAAAHv99xU=")</f>
        <v>#REF!</v>
      </c>
      <c r="W73" t="e">
        <f>AND(#REF!,"AAAAAHv99xY=")</f>
        <v>#REF!</v>
      </c>
      <c r="X73" t="e">
        <f>AND(#REF!,"AAAAAHv99xc=")</f>
        <v>#REF!</v>
      </c>
      <c r="Y73" t="e">
        <f>AND(#REF!,"AAAAAHv99xg=")</f>
        <v>#REF!</v>
      </c>
      <c r="Z73" t="e">
        <f>AND(#REF!,"AAAAAHv99xk=")</f>
        <v>#REF!</v>
      </c>
      <c r="AA73" t="e">
        <f>AND(#REF!,"AAAAAHv99xo=")</f>
        <v>#REF!</v>
      </c>
      <c r="AB73" t="e">
        <f>IF(#REF!,"AAAAAHv99xs=",0)</f>
        <v>#REF!</v>
      </c>
      <c r="AC73" t="e">
        <f>AND(#REF!,"AAAAAHv99xw=")</f>
        <v>#REF!</v>
      </c>
      <c r="AD73" t="e">
        <f>AND(#REF!,"AAAAAHv99x0=")</f>
        <v>#REF!</v>
      </c>
      <c r="AE73" t="e">
        <f>AND(#REF!,"AAAAAHv99x4=")</f>
        <v>#REF!</v>
      </c>
      <c r="AF73" t="e">
        <f>AND(#REF!,"AAAAAHv99x8=")</f>
        <v>#REF!</v>
      </c>
      <c r="AG73" t="e">
        <f>AND(#REF!,"AAAAAHv99yA=")</f>
        <v>#REF!</v>
      </c>
      <c r="AH73" t="e">
        <f>AND(#REF!,"AAAAAHv99yE=")</f>
        <v>#REF!</v>
      </c>
      <c r="AI73" t="e">
        <f>AND(#REF!,"AAAAAHv99yI=")</f>
        <v>#REF!</v>
      </c>
      <c r="AJ73" t="e">
        <f>AND(#REF!,"AAAAAHv99yM=")</f>
        <v>#REF!</v>
      </c>
      <c r="AK73" t="e">
        <f>AND(#REF!,"AAAAAHv99yQ=")</f>
        <v>#REF!</v>
      </c>
      <c r="AL73" t="e">
        <f>AND(#REF!,"AAAAAHv99yU=")</f>
        <v>#REF!</v>
      </c>
      <c r="AM73" t="e">
        <f>AND(#REF!,"AAAAAHv99yY=")</f>
        <v>#REF!</v>
      </c>
      <c r="AN73" t="e">
        <f>AND(#REF!,"AAAAAHv99yc=")</f>
        <v>#REF!</v>
      </c>
      <c r="AO73" t="e">
        <f>AND(#REF!,"AAAAAHv99yg=")</f>
        <v>#REF!</v>
      </c>
      <c r="AP73" t="e">
        <f>AND(#REF!,"AAAAAHv99yk=")</f>
        <v>#REF!</v>
      </c>
      <c r="AQ73" t="e">
        <f>AND(#REF!,"AAAAAHv99yo=")</f>
        <v>#REF!</v>
      </c>
      <c r="AR73" t="e">
        <f>AND(#REF!,"AAAAAHv99ys=")</f>
        <v>#REF!</v>
      </c>
      <c r="AS73" t="e">
        <f>AND(#REF!,"AAAAAHv99yw=")</f>
        <v>#REF!</v>
      </c>
      <c r="AT73" t="e">
        <f>AND(#REF!,"AAAAAHv99y0=")</f>
        <v>#REF!</v>
      </c>
      <c r="AU73" t="e">
        <f>AND(#REF!,"AAAAAHv99y4=")</f>
        <v>#REF!</v>
      </c>
      <c r="AV73" t="e">
        <f>AND(#REF!,"AAAAAHv99y8=")</f>
        <v>#REF!</v>
      </c>
      <c r="AW73" t="e">
        <f>AND(#REF!,"AAAAAHv99zA=")</f>
        <v>#REF!</v>
      </c>
      <c r="AX73" t="e">
        <f>AND(#REF!,"AAAAAHv99zE=")</f>
        <v>#REF!</v>
      </c>
      <c r="AY73" t="e">
        <f>AND(#REF!,"AAAAAHv99zI=")</f>
        <v>#REF!</v>
      </c>
      <c r="AZ73" t="e">
        <f>AND(#REF!,"AAAAAHv99zM=")</f>
        <v>#REF!</v>
      </c>
      <c r="BA73" t="e">
        <f>AND(#REF!,"AAAAAHv99zQ=")</f>
        <v>#REF!</v>
      </c>
      <c r="BB73" t="e">
        <f>AND(#REF!,"AAAAAHv99zU=")</f>
        <v>#REF!</v>
      </c>
      <c r="BC73" t="e">
        <f>AND(#REF!,"AAAAAHv99zY=")</f>
        <v>#REF!</v>
      </c>
      <c r="BD73" t="e">
        <f>AND(#REF!,"AAAAAHv99zc=")</f>
        <v>#REF!</v>
      </c>
      <c r="BE73" t="e">
        <f>AND(#REF!,"AAAAAHv99zg=")</f>
        <v>#REF!</v>
      </c>
      <c r="BF73" t="e">
        <f>AND(#REF!,"AAAAAHv99zk=")</f>
        <v>#REF!</v>
      </c>
      <c r="BG73" t="e">
        <f>AND(#REF!,"AAAAAHv99zo=")</f>
        <v>#REF!</v>
      </c>
      <c r="BH73" t="e">
        <f>AND(#REF!,"AAAAAHv99zs=")</f>
        <v>#REF!</v>
      </c>
      <c r="BI73" t="e">
        <f>AND(#REF!,"AAAAAHv99zw=")</f>
        <v>#REF!</v>
      </c>
      <c r="BJ73" t="e">
        <f>AND(#REF!,"AAAAAHv99z0=")</f>
        <v>#REF!</v>
      </c>
      <c r="BK73" t="e">
        <f>AND(#REF!,"AAAAAHv99z4=")</f>
        <v>#REF!</v>
      </c>
      <c r="BL73" t="e">
        <f>AND(#REF!,"AAAAAHv99z8=")</f>
        <v>#REF!</v>
      </c>
      <c r="BM73" t="e">
        <f>AND(#REF!,"AAAAAHv990A=")</f>
        <v>#REF!</v>
      </c>
      <c r="BN73" t="e">
        <f>AND(#REF!,"AAAAAHv990E=")</f>
        <v>#REF!</v>
      </c>
      <c r="BO73" t="e">
        <f>AND(#REF!,"AAAAAHv990I=")</f>
        <v>#REF!</v>
      </c>
      <c r="BP73" t="e">
        <f>AND(#REF!,"AAAAAHv990M=")</f>
        <v>#REF!</v>
      </c>
      <c r="BQ73" t="e">
        <f>AND(#REF!,"AAAAAHv990Q=")</f>
        <v>#REF!</v>
      </c>
      <c r="BR73" t="e">
        <f>AND(#REF!,"AAAAAHv990U=")</f>
        <v>#REF!</v>
      </c>
      <c r="BS73" t="e">
        <f>AND(#REF!,"AAAAAHv990Y=")</f>
        <v>#REF!</v>
      </c>
      <c r="BT73" t="e">
        <f>AND(#REF!,"AAAAAHv990c=")</f>
        <v>#REF!</v>
      </c>
      <c r="BU73" t="e">
        <f>AND(#REF!,"AAAAAHv990g=")</f>
        <v>#REF!</v>
      </c>
      <c r="BV73" t="e">
        <f>AND(#REF!,"AAAAAHv990k=")</f>
        <v>#REF!</v>
      </c>
      <c r="BW73" t="e">
        <f>AND(#REF!,"AAAAAHv990o=")</f>
        <v>#REF!</v>
      </c>
      <c r="BX73" t="e">
        <f>AND(#REF!,"AAAAAHv990s=")</f>
        <v>#REF!</v>
      </c>
      <c r="BY73" t="e">
        <f>AND(#REF!,"AAAAAHv990w=")</f>
        <v>#REF!</v>
      </c>
      <c r="BZ73" t="e">
        <f>AND(#REF!,"AAAAAHv9900=")</f>
        <v>#REF!</v>
      </c>
      <c r="CA73" t="e">
        <f>AND(#REF!,"AAAAAHv9904=")</f>
        <v>#REF!</v>
      </c>
      <c r="CB73" t="e">
        <f>AND(#REF!,"AAAAAHv9908=")</f>
        <v>#REF!</v>
      </c>
      <c r="CC73" t="e">
        <f>AND(#REF!,"AAAAAHv991A=")</f>
        <v>#REF!</v>
      </c>
      <c r="CD73" t="e">
        <f>AND(#REF!,"AAAAAHv991E=")</f>
        <v>#REF!</v>
      </c>
      <c r="CE73" t="e">
        <f>IF(#REF!,"AAAAAHv991I=",0)</f>
        <v>#REF!</v>
      </c>
      <c r="CF73" t="e">
        <f>AND(#REF!,"AAAAAHv991M=")</f>
        <v>#REF!</v>
      </c>
      <c r="CG73" t="e">
        <f>AND(#REF!,"AAAAAHv991Q=")</f>
        <v>#REF!</v>
      </c>
      <c r="CH73" t="e">
        <f>AND(#REF!,"AAAAAHv991U=")</f>
        <v>#REF!</v>
      </c>
      <c r="CI73" t="e">
        <f>AND(#REF!,"AAAAAHv991Y=")</f>
        <v>#REF!</v>
      </c>
      <c r="CJ73" t="e">
        <f>AND(#REF!,"AAAAAHv991c=")</f>
        <v>#REF!</v>
      </c>
      <c r="CK73" t="e">
        <f>AND(#REF!,"AAAAAHv991g=")</f>
        <v>#REF!</v>
      </c>
      <c r="CL73" t="e">
        <f>AND(#REF!,"AAAAAHv991k=")</f>
        <v>#REF!</v>
      </c>
      <c r="CM73" t="e">
        <f>AND(#REF!,"AAAAAHv991o=")</f>
        <v>#REF!</v>
      </c>
      <c r="CN73" t="e">
        <f>AND(#REF!,"AAAAAHv991s=")</f>
        <v>#REF!</v>
      </c>
      <c r="CO73" t="e">
        <f>AND(#REF!,"AAAAAHv991w=")</f>
        <v>#REF!</v>
      </c>
      <c r="CP73" t="e">
        <f>AND(#REF!,"AAAAAHv9910=")</f>
        <v>#REF!</v>
      </c>
      <c r="CQ73" t="e">
        <f>AND(#REF!,"AAAAAHv9914=")</f>
        <v>#REF!</v>
      </c>
      <c r="CR73" t="e">
        <f>AND(#REF!,"AAAAAHv9918=")</f>
        <v>#REF!</v>
      </c>
      <c r="CS73" t="e">
        <f>AND(#REF!,"AAAAAHv992A=")</f>
        <v>#REF!</v>
      </c>
      <c r="CT73" t="e">
        <f>AND(#REF!,"AAAAAHv992E=")</f>
        <v>#REF!</v>
      </c>
      <c r="CU73" t="e">
        <f>AND(#REF!,"AAAAAHv992I=")</f>
        <v>#REF!</v>
      </c>
      <c r="CV73" t="e">
        <f>AND(#REF!,"AAAAAHv992M=")</f>
        <v>#REF!</v>
      </c>
      <c r="CW73" t="e">
        <f>AND(#REF!,"AAAAAHv992Q=")</f>
        <v>#REF!</v>
      </c>
      <c r="CX73" t="e">
        <f>AND(#REF!,"AAAAAHv992U=")</f>
        <v>#REF!</v>
      </c>
      <c r="CY73" t="e">
        <f>AND(#REF!,"AAAAAHv992Y=")</f>
        <v>#REF!</v>
      </c>
      <c r="CZ73" t="e">
        <f>AND(#REF!,"AAAAAHv992c=")</f>
        <v>#REF!</v>
      </c>
      <c r="DA73" t="e">
        <f>AND(#REF!,"AAAAAHv992g=")</f>
        <v>#REF!</v>
      </c>
      <c r="DB73" t="e">
        <f>AND(#REF!,"AAAAAHv992k=")</f>
        <v>#REF!</v>
      </c>
      <c r="DC73" t="e">
        <f>AND(#REF!,"AAAAAHv992o=")</f>
        <v>#REF!</v>
      </c>
      <c r="DD73" t="e">
        <f>AND(#REF!,"AAAAAHv992s=")</f>
        <v>#REF!</v>
      </c>
      <c r="DE73" t="e">
        <f>AND(#REF!,"AAAAAHv992w=")</f>
        <v>#REF!</v>
      </c>
      <c r="DF73" t="e">
        <f>AND(#REF!,"AAAAAHv9920=")</f>
        <v>#REF!</v>
      </c>
      <c r="DG73" t="e">
        <f>AND(#REF!,"AAAAAHv9924=")</f>
        <v>#REF!</v>
      </c>
      <c r="DH73" t="e">
        <f>AND(#REF!,"AAAAAHv9928=")</f>
        <v>#REF!</v>
      </c>
      <c r="DI73" t="e">
        <f>AND(#REF!,"AAAAAHv993A=")</f>
        <v>#REF!</v>
      </c>
      <c r="DJ73" t="e">
        <f>AND(#REF!,"AAAAAHv993E=")</f>
        <v>#REF!</v>
      </c>
      <c r="DK73" t="e">
        <f>AND(#REF!,"AAAAAHv993I=")</f>
        <v>#REF!</v>
      </c>
      <c r="DL73" t="e">
        <f>AND(#REF!,"AAAAAHv993M=")</f>
        <v>#REF!</v>
      </c>
      <c r="DM73" t="e">
        <f>AND(#REF!,"AAAAAHv993Q=")</f>
        <v>#REF!</v>
      </c>
      <c r="DN73" t="e">
        <f>AND(#REF!,"AAAAAHv993U=")</f>
        <v>#REF!</v>
      </c>
      <c r="DO73" t="e">
        <f>AND(#REF!,"AAAAAHv993Y=")</f>
        <v>#REF!</v>
      </c>
      <c r="DP73" t="e">
        <f>AND(#REF!,"AAAAAHv993c=")</f>
        <v>#REF!</v>
      </c>
      <c r="DQ73" t="e">
        <f>AND(#REF!,"AAAAAHv993g=")</f>
        <v>#REF!</v>
      </c>
      <c r="DR73" t="e">
        <f>AND(#REF!,"AAAAAHv993k=")</f>
        <v>#REF!</v>
      </c>
      <c r="DS73" t="e">
        <f>AND(#REF!,"AAAAAHv993o=")</f>
        <v>#REF!</v>
      </c>
      <c r="DT73" t="e">
        <f>AND(#REF!,"AAAAAHv993s=")</f>
        <v>#REF!</v>
      </c>
      <c r="DU73" t="e">
        <f>AND(#REF!,"AAAAAHv993w=")</f>
        <v>#REF!</v>
      </c>
      <c r="DV73" t="e">
        <f>AND(#REF!,"AAAAAHv9930=")</f>
        <v>#REF!</v>
      </c>
      <c r="DW73" t="e">
        <f>AND(#REF!,"AAAAAHv9934=")</f>
        <v>#REF!</v>
      </c>
      <c r="DX73" t="e">
        <f>AND(#REF!,"AAAAAHv9938=")</f>
        <v>#REF!</v>
      </c>
      <c r="DY73" t="e">
        <f>AND(#REF!,"AAAAAHv994A=")</f>
        <v>#REF!</v>
      </c>
      <c r="DZ73" t="e">
        <f>AND(#REF!,"AAAAAHv994E=")</f>
        <v>#REF!</v>
      </c>
      <c r="EA73" t="e">
        <f>AND(#REF!,"AAAAAHv994I=")</f>
        <v>#REF!</v>
      </c>
      <c r="EB73" t="e">
        <f>AND(#REF!,"AAAAAHv994M=")</f>
        <v>#REF!</v>
      </c>
      <c r="EC73" t="e">
        <f>AND(#REF!,"AAAAAHv994Q=")</f>
        <v>#REF!</v>
      </c>
      <c r="ED73" t="e">
        <f>AND(#REF!,"AAAAAHv994U=")</f>
        <v>#REF!</v>
      </c>
      <c r="EE73" t="e">
        <f>AND(#REF!,"AAAAAHv994Y=")</f>
        <v>#REF!</v>
      </c>
      <c r="EF73" t="e">
        <f>AND(#REF!,"AAAAAHv994c=")</f>
        <v>#REF!</v>
      </c>
      <c r="EG73" t="e">
        <f>AND(#REF!,"AAAAAHv994g=")</f>
        <v>#REF!</v>
      </c>
      <c r="EH73" t="e">
        <f>IF(#REF!,"AAAAAHv994k=",0)</f>
        <v>#REF!</v>
      </c>
      <c r="EI73" t="e">
        <f>AND(#REF!,"AAAAAHv994o=")</f>
        <v>#REF!</v>
      </c>
      <c r="EJ73" t="e">
        <f>AND(#REF!,"AAAAAHv994s=")</f>
        <v>#REF!</v>
      </c>
      <c r="EK73" t="e">
        <f>AND(#REF!,"AAAAAHv994w=")</f>
        <v>#REF!</v>
      </c>
      <c r="EL73" t="e">
        <f>AND(#REF!,"AAAAAHv9940=")</f>
        <v>#REF!</v>
      </c>
      <c r="EM73" t="e">
        <f>AND(#REF!,"AAAAAHv9944=")</f>
        <v>#REF!</v>
      </c>
      <c r="EN73" t="e">
        <f>AND(#REF!,"AAAAAHv9948=")</f>
        <v>#REF!</v>
      </c>
      <c r="EO73" t="e">
        <f>AND(#REF!,"AAAAAHv995A=")</f>
        <v>#REF!</v>
      </c>
      <c r="EP73" t="e">
        <f>AND(#REF!,"AAAAAHv995E=")</f>
        <v>#REF!</v>
      </c>
      <c r="EQ73" t="e">
        <f>AND(#REF!,"AAAAAHv995I=")</f>
        <v>#REF!</v>
      </c>
      <c r="ER73" t="e">
        <f>AND(#REF!,"AAAAAHv995M=")</f>
        <v>#REF!</v>
      </c>
      <c r="ES73" t="e">
        <f>AND(#REF!,"AAAAAHv995Q=")</f>
        <v>#REF!</v>
      </c>
      <c r="ET73" t="e">
        <f>AND(#REF!,"AAAAAHv995U=")</f>
        <v>#REF!</v>
      </c>
      <c r="EU73" t="e">
        <f>AND(#REF!,"AAAAAHv995Y=")</f>
        <v>#REF!</v>
      </c>
      <c r="EV73" t="e">
        <f>AND(#REF!,"AAAAAHv995c=")</f>
        <v>#REF!</v>
      </c>
      <c r="EW73" t="e">
        <f>AND(#REF!,"AAAAAHv995g=")</f>
        <v>#REF!</v>
      </c>
      <c r="EX73" t="e">
        <f>AND(#REF!,"AAAAAHv995k=")</f>
        <v>#REF!</v>
      </c>
      <c r="EY73" t="e">
        <f>AND(#REF!,"AAAAAHv995o=")</f>
        <v>#REF!</v>
      </c>
      <c r="EZ73" t="e">
        <f>AND(#REF!,"AAAAAHv995s=")</f>
        <v>#REF!</v>
      </c>
      <c r="FA73" t="e">
        <f>AND(#REF!,"AAAAAHv995w=")</f>
        <v>#REF!</v>
      </c>
      <c r="FB73" t="e">
        <f>AND(#REF!,"AAAAAHv9950=")</f>
        <v>#REF!</v>
      </c>
      <c r="FC73" t="e">
        <f>AND(#REF!,"AAAAAHv9954=")</f>
        <v>#REF!</v>
      </c>
      <c r="FD73" t="e">
        <f>AND(#REF!,"AAAAAHv9958=")</f>
        <v>#REF!</v>
      </c>
      <c r="FE73" t="e">
        <f>AND(#REF!,"AAAAAHv996A=")</f>
        <v>#REF!</v>
      </c>
      <c r="FF73" t="e">
        <f>AND(#REF!,"AAAAAHv996E=")</f>
        <v>#REF!</v>
      </c>
      <c r="FG73" t="e">
        <f>AND(#REF!,"AAAAAHv996I=")</f>
        <v>#REF!</v>
      </c>
      <c r="FH73" t="e">
        <f>AND(#REF!,"AAAAAHv996M=")</f>
        <v>#REF!</v>
      </c>
      <c r="FI73" t="e">
        <f>AND(#REF!,"AAAAAHv996Q=")</f>
        <v>#REF!</v>
      </c>
      <c r="FJ73" t="e">
        <f>AND(#REF!,"AAAAAHv996U=")</f>
        <v>#REF!</v>
      </c>
      <c r="FK73" t="e">
        <f>AND(#REF!,"AAAAAHv996Y=")</f>
        <v>#REF!</v>
      </c>
      <c r="FL73" t="e">
        <f>AND(#REF!,"AAAAAHv996c=")</f>
        <v>#REF!</v>
      </c>
      <c r="FM73" t="e">
        <f>AND(#REF!,"AAAAAHv996g=")</f>
        <v>#REF!</v>
      </c>
      <c r="FN73" t="e">
        <f>AND(#REF!,"AAAAAHv996k=")</f>
        <v>#REF!</v>
      </c>
      <c r="FO73" t="e">
        <f>AND(#REF!,"AAAAAHv996o=")</f>
        <v>#REF!</v>
      </c>
      <c r="FP73" t="e">
        <f>AND(#REF!,"AAAAAHv996s=")</f>
        <v>#REF!</v>
      </c>
      <c r="FQ73" t="e">
        <f>AND(#REF!,"AAAAAHv996w=")</f>
        <v>#REF!</v>
      </c>
      <c r="FR73" t="e">
        <f>AND(#REF!,"AAAAAHv9960=")</f>
        <v>#REF!</v>
      </c>
      <c r="FS73" t="e">
        <f>AND(#REF!,"AAAAAHv9964=")</f>
        <v>#REF!</v>
      </c>
      <c r="FT73" t="e">
        <f>AND(#REF!,"AAAAAHv9968=")</f>
        <v>#REF!</v>
      </c>
      <c r="FU73" t="e">
        <f>AND(#REF!,"AAAAAHv997A=")</f>
        <v>#REF!</v>
      </c>
      <c r="FV73" t="e">
        <f>AND(#REF!,"AAAAAHv997E=")</f>
        <v>#REF!</v>
      </c>
      <c r="FW73" t="e">
        <f>AND(#REF!,"AAAAAHv997I=")</f>
        <v>#REF!</v>
      </c>
      <c r="FX73" t="e">
        <f>AND(#REF!,"AAAAAHv997M=")</f>
        <v>#REF!</v>
      </c>
      <c r="FY73" t="e">
        <f>AND(#REF!,"AAAAAHv997Q=")</f>
        <v>#REF!</v>
      </c>
      <c r="FZ73" t="e">
        <f>AND(#REF!,"AAAAAHv997U=")</f>
        <v>#REF!</v>
      </c>
      <c r="GA73" t="e">
        <f>AND(#REF!,"AAAAAHv997Y=")</f>
        <v>#REF!</v>
      </c>
      <c r="GB73" t="e">
        <f>AND(#REF!,"AAAAAHv997c=")</f>
        <v>#REF!</v>
      </c>
      <c r="GC73" t="e">
        <f>AND(#REF!,"AAAAAHv997g=")</f>
        <v>#REF!</v>
      </c>
      <c r="GD73" t="e">
        <f>AND(#REF!,"AAAAAHv997k=")</f>
        <v>#REF!</v>
      </c>
      <c r="GE73" t="e">
        <f>AND(#REF!,"AAAAAHv997o=")</f>
        <v>#REF!</v>
      </c>
      <c r="GF73" t="e">
        <f>AND(#REF!,"AAAAAHv997s=")</f>
        <v>#REF!</v>
      </c>
      <c r="GG73" t="e">
        <f>AND(#REF!,"AAAAAHv997w=")</f>
        <v>#REF!</v>
      </c>
      <c r="GH73" t="e">
        <f>AND(#REF!,"AAAAAHv9970=")</f>
        <v>#REF!</v>
      </c>
      <c r="GI73" t="e">
        <f>AND(#REF!,"AAAAAHv9974=")</f>
        <v>#REF!</v>
      </c>
      <c r="GJ73" t="e">
        <f>AND(#REF!,"AAAAAHv9978=")</f>
        <v>#REF!</v>
      </c>
      <c r="GK73" t="e">
        <f>IF(#REF!,"AAAAAHv998A=",0)</f>
        <v>#REF!</v>
      </c>
      <c r="GL73" t="e">
        <f>AND(#REF!,"AAAAAHv998E=")</f>
        <v>#REF!</v>
      </c>
      <c r="GM73" t="e">
        <f>AND(#REF!,"AAAAAHv998I=")</f>
        <v>#REF!</v>
      </c>
      <c r="GN73" t="e">
        <f>AND(#REF!,"AAAAAHv998M=")</f>
        <v>#REF!</v>
      </c>
      <c r="GO73" t="e">
        <f>AND(#REF!,"AAAAAHv998Q=")</f>
        <v>#REF!</v>
      </c>
      <c r="GP73" t="e">
        <f>AND(#REF!,"AAAAAHv998U=")</f>
        <v>#REF!</v>
      </c>
      <c r="GQ73" t="e">
        <f>AND(#REF!,"AAAAAHv998Y=")</f>
        <v>#REF!</v>
      </c>
      <c r="GR73" t="e">
        <f>AND(#REF!,"AAAAAHv998c=")</f>
        <v>#REF!</v>
      </c>
      <c r="GS73" t="e">
        <f>AND(#REF!,"AAAAAHv998g=")</f>
        <v>#REF!</v>
      </c>
      <c r="GT73" t="e">
        <f>AND(#REF!,"AAAAAHv998k=")</f>
        <v>#REF!</v>
      </c>
      <c r="GU73" t="e">
        <f>AND(#REF!,"AAAAAHv998o=")</f>
        <v>#REF!</v>
      </c>
      <c r="GV73" t="e">
        <f>AND(#REF!,"AAAAAHv998s=")</f>
        <v>#REF!</v>
      </c>
      <c r="GW73" t="e">
        <f>AND(#REF!,"AAAAAHv998w=")</f>
        <v>#REF!</v>
      </c>
      <c r="GX73" t="e">
        <f>AND(#REF!,"AAAAAHv9980=")</f>
        <v>#REF!</v>
      </c>
      <c r="GY73" t="e">
        <f>AND(#REF!,"AAAAAHv9984=")</f>
        <v>#REF!</v>
      </c>
      <c r="GZ73" t="e">
        <f>AND(#REF!,"AAAAAHv9988=")</f>
        <v>#REF!</v>
      </c>
      <c r="HA73" t="e">
        <f>AND(#REF!,"AAAAAHv999A=")</f>
        <v>#REF!</v>
      </c>
      <c r="HB73" t="e">
        <f>AND(#REF!,"AAAAAHv999E=")</f>
        <v>#REF!</v>
      </c>
      <c r="HC73" t="e">
        <f>AND(#REF!,"AAAAAHv999I=")</f>
        <v>#REF!</v>
      </c>
      <c r="HD73" t="e">
        <f>AND(#REF!,"AAAAAHv999M=")</f>
        <v>#REF!</v>
      </c>
      <c r="HE73" t="e">
        <f>AND(#REF!,"AAAAAHv999Q=")</f>
        <v>#REF!</v>
      </c>
      <c r="HF73" t="e">
        <f>AND(#REF!,"AAAAAHv999U=")</f>
        <v>#REF!</v>
      </c>
      <c r="HG73" t="e">
        <f>AND(#REF!,"AAAAAHv999Y=")</f>
        <v>#REF!</v>
      </c>
      <c r="HH73" t="e">
        <f>AND(#REF!,"AAAAAHv999c=")</f>
        <v>#REF!</v>
      </c>
      <c r="HI73" t="e">
        <f>AND(#REF!,"AAAAAHv999g=")</f>
        <v>#REF!</v>
      </c>
      <c r="HJ73" t="e">
        <f>AND(#REF!,"AAAAAHv999k=")</f>
        <v>#REF!</v>
      </c>
      <c r="HK73" t="e">
        <f>AND(#REF!,"AAAAAHv999o=")</f>
        <v>#REF!</v>
      </c>
      <c r="HL73" t="e">
        <f>AND(#REF!,"AAAAAHv999s=")</f>
        <v>#REF!</v>
      </c>
      <c r="HM73" t="e">
        <f>AND(#REF!,"AAAAAHv999w=")</f>
        <v>#REF!</v>
      </c>
      <c r="HN73" t="e">
        <f>AND(#REF!,"AAAAAHv9990=")</f>
        <v>#REF!</v>
      </c>
      <c r="HO73" t="e">
        <f>AND(#REF!,"AAAAAHv9994=")</f>
        <v>#REF!</v>
      </c>
      <c r="HP73" t="e">
        <f>AND(#REF!,"AAAAAHv9998=")</f>
        <v>#REF!</v>
      </c>
      <c r="HQ73" t="e">
        <f>AND(#REF!,"AAAAAHv99+A=")</f>
        <v>#REF!</v>
      </c>
      <c r="HR73" t="e">
        <f>AND(#REF!,"AAAAAHv99+E=")</f>
        <v>#REF!</v>
      </c>
      <c r="HS73" t="e">
        <f>AND(#REF!,"AAAAAHv99+I=")</f>
        <v>#REF!</v>
      </c>
      <c r="HT73" t="e">
        <f>AND(#REF!,"AAAAAHv99+M=")</f>
        <v>#REF!</v>
      </c>
      <c r="HU73" t="e">
        <f>AND(#REF!,"AAAAAHv99+Q=")</f>
        <v>#REF!</v>
      </c>
      <c r="HV73" t="e">
        <f>AND(#REF!,"AAAAAHv99+U=")</f>
        <v>#REF!</v>
      </c>
      <c r="HW73" t="e">
        <f>AND(#REF!,"AAAAAHv99+Y=")</f>
        <v>#REF!</v>
      </c>
      <c r="HX73" t="e">
        <f>AND(#REF!,"AAAAAHv99+c=")</f>
        <v>#REF!</v>
      </c>
      <c r="HY73" t="e">
        <f>AND(#REF!,"AAAAAHv99+g=")</f>
        <v>#REF!</v>
      </c>
      <c r="HZ73" t="e">
        <f>AND(#REF!,"AAAAAHv99+k=")</f>
        <v>#REF!</v>
      </c>
      <c r="IA73" t="e">
        <f>AND(#REF!,"AAAAAHv99+o=")</f>
        <v>#REF!</v>
      </c>
      <c r="IB73" t="e">
        <f>AND(#REF!,"AAAAAHv99+s=")</f>
        <v>#REF!</v>
      </c>
      <c r="IC73" t="e">
        <f>AND(#REF!,"AAAAAHv99+w=")</f>
        <v>#REF!</v>
      </c>
      <c r="ID73" t="e">
        <f>AND(#REF!,"AAAAAHv99+0=")</f>
        <v>#REF!</v>
      </c>
      <c r="IE73" t="e">
        <f>AND(#REF!,"AAAAAHv99+4=")</f>
        <v>#REF!</v>
      </c>
      <c r="IF73" t="e">
        <f>AND(#REF!,"AAAAAHv99+8=")</f>
        <v>#REF!</v>
      </c>
      <c r="IG73" t="e">
        <f>AND(#REF!,"AAAAAHv99/A=")</f>
        <v>#REF!</v>
      </c>
      <c r="IH73" t="e">
        <f>AND(#REF!,"AAAAAHv99/E=")</f>
        <v>#REF!</v>
      </c>
      <c r="II73" t="e">
        <f>AND(#REF!,"AAAAAHv99/I=")</f>
        <v>#REF!</v>
      </c>
      <c r="IJ73" t="e">
        <f>AND(#REF!,"AAAAAHv99/M=")</f>
        <v>#REF!</v>
      </c>
      <c r="IK73" t="e">
        <f>AND(#REF!,"AAAAAHv99/Q=")</f>
        <v>#REF!</v>
      </c>
      <c r="IL73" t="e">
        <f>AND(#REF!,"AAAAAHv99/U=")</f>
        <v>#REF!</v>
      </c>
      <c r="IM73" t="e">
        <f>AND(#REF!,"AAAAAHv99/Y=")</f>
        <v>#REF!</v>
      </c>
      <c r="IN73" t="e">
        <f>IF(#REF!,"AAAAAHv99/c=",0)</f>
        <v>#REF!</v>
      </c>
      <c r="IO73" t="e">
        <f>AND(#REF!,"AAAAAHv99/g=")</f>
        <v>#REF!</v>
      </c>
      <c r="IP73" t="e">
        <f>AND(#REF!,"AAAAAHv99/k=")</f>
        <v>#REF!</v>
      </c>
      <c r="IQ73" t="e">
        <f>AND(#REF!,"AAAAAHv99/o=")</f>
        <v>#REF!</v>
      </c>
      <c r="IR73" t="e">
        <f>AND(#REF!,"AAAAAHv99/s=")</f>
        <v>#REF!</v>
      </c>
      <c r="IS73" t="e">
        <f>AND(#REF!,"AAAAAHv99/w=")</f>
        <v>#REF!</v>
      </c>
      <c r="IT73" t="e">
        <f>AND(#REF!,"AAAAAHv99/0=")</f>
        <v>#REF!</v>
      </c>
      <c r="IU73" t="e">
        <f>AND(#REF!,"AAAAAHv99/4=")</f>
        <v>#REF!</v>
      </c>
      <c r="IV73" t="e">
        <f>AND(#REF!,"AAAAAHv99/8=")</f>
        <v>#REF!</v>
      </c>
    </row>
    <row r="74" spans="1:256" x14ac:dyDescent="0.25">
      <c r="A74" t="e">
        <f>AND(#REF!,"AAAAAH//3wA=")</f>
        <v>#REF!</v>
      </c>
      <c r="B74" t="e">
        <f>AND(#REF!,"AAAAAH//3wE=")</f>
        <v>#REF!</v>
      </c>
      <c r="C74" t="e">
        <f>AND(#REF!,"AAAAAH//3wI=")</f>
        <v>#REF!</v>
      </c>
      <c r="D74" t="e">
        <f>AND(#REF!,"AAAAAH//3wM=")</f>
        <v>#REF!</v>
      </c>
      <c r="E74" t="e">
        <f>AND(#REF!,"AAAAAH//3wQ=")</f>
        <v>#REF!</v>
      </c>
      <c r="F74" t="e">
        <f>AND(#REF!,"AAAAAH//3wU=")</f>
        <v>#REF!</v>
      </c>
      <c r="G74" t="e">
        <f>AND(#REF!,"AAAAAH//3wY=")</f>
        <v>#REF!</v>
      </c>
      <c r="H74" t="e">
        <f>AND(#REF!,"AAAAAH//3wc=")</f>
        <v>#REF!</v>
      </c>
      <c r="I74" t="e">
        <f>AND(#REF!,"AAAAAH//3wg=")</f>
        <v>#REF!</v>
      </c>
      <c r="J74" t="e">
        <f>AND(#REF!,"AAAAAH//3wk=")</f>
        <v>#REF!</v>
      </c>
      <c r="K74" t="e">
        <f>AND(#REF!,"AAAAAH//3wo=")</f>
        <v>#REF!</v>
      </c>
      <c r="L74" t="e">
        <f>AND(#REF!,"AAAAAH//3ws=")</f>
        <v>#REF!</v>
      </c>
      <c r="M74" t="e">
        <f>AND(#REF!,"AAAAAH//3ww=")</f>
        <v>#REF!</v>
      </c>
      <c r="N74" t="e">
        <f>AND(#REF!,"AAAAAH//3w0=")</f>
        <v>#REF!</v>
      </c>
      <c r="O74" t="e">
        <f>AND(#REF!,"AAAAAH//3w4=")</f>
        <v>#REF!</v>
      </c>
      <c r="P74" t="e">
        <f>AND(#REF!,"AAAAAH//3w8=")</f>
        <v>#REF!</v>
      </c>
      <c r="Q74" t="e">
        <f>AND(#REF!,"AAAAAH//3xA=")</f>
        <v>#REF!</v>
      </c>
      <c r="R74" t="e">
        <f>AND(#REF!,"AAAAAH//3xE=")</f>
        <v>#REF!</v>
      </c>
      <c r="S74" t="e">
        <f>AND(#REF!,"AAAAAH//3xI=")</f>
        <v>#REF!</v>
      </c>
      <c r="T74" t="e">
        <f>AND(#REF!,"AAAAAH//3xM=")</f>
        <v>#REF!</v>
      </c>
      <c r="U74" t="e">
        <f>AND(#REF!,"AAAAAH//3xQ=")</f>
        <v>#REF!</v>
      </c>
      <c r="V74" t="e">
        <f>AND(#REF!,"AAAAAH//3xU=")</f>
        <v>#REF!</v>
      </c>
      <c r="W74" t="e">
        <f>AND(#REF!,"AAAAAH//3xY=")</f>
        <v>#REF!</v>
      </c>
      <c r="X74" t="e">
        <f>AND(#REF!,"AAAAAH//3xc=")</f>
        <v>#REF!</v>
      </c>
      <c r="Y74" t="e">
        <f>AND(#REF!,"AAAAAH//3xg=")</f>
        <v>#REF!</v>
      </c>
      <c r="Z74" t="e">
        <f>AND(#REF!,"AAAAAH//3xk=")</f>
        <v>#REF!</v>
      </c>
      <c r="AA74" t="e">
        <f>AND(#REF!,"AAAAAH//3xo=")</f>
        <v>#REF!</v>
      </c>
      <c r="AB74" t="e">
        <f>AND(#REF!,"AAAAAH//3xs=")</f>
        <v>#REF!</v>
      </c>
      <c r="AC74" t="e">
        <f>AND(#REF!,"AAAAAH//3xw=")</f>
        <v>#REF!</v>
      </c>
      <c r="AD74" t="e">
        <f>AND(#REF!,"AAAAAH//3x0=")</f>
        <v>#REF!</v>
      </c>
      <c r="AE74" t="e">
        <f>AND(#REF!,"AAAAAH//3x4=")</f>
        <v>#REF!</v>
      </c>
      <c r="AF74" t="e">
        <f>AND(#REF!,"AAAAAH//3x8=")</f>
        <v>#REF!</v>
      </c>
      <c r="AG74" t="e">
        <f>AND(#REF!,"AAAAAH//3yA=")</f>
        <v>#REF!</v>
      </c>
      <c r="AH74" t="e">
        <f>AND(#REF!,"AAAAAH//3yE=")</f>
        <v>#REF!</v>
      </c>
      <c r="AI74" t="e">
        <f>AND(#REF!,"AAAAAH//3yI=")</f>
        <v>#REF!</v>
      </c>
      <c r="AJ74" t="e">
        <f>AND(#REF!,"AAAAAH//3yM=")</f>
        <v>#REF!</v>
      </c>
      <c r="AK74" t="e">
        <f>AND(#REF!,"AAAAAH//3yQ=")</f>
        <v>#REF!</v>
      </c>
      <c r="AL74" t="e">
        <f>AND(#REF!,"AAAAAH//3yU=")</f>
        <v>#REF!</v>
      </c>
      <c r="AM74" t="e">
        <f>AND(#REF!,"AAAAAH//3yY=")</f>
        <v>#REF!</v>
      </c>
      <c r="AN74" t="e">
        <f>AND(#REF!,"AAAAAH//3yc=")</f>
        <v>#REF!</v>
      </c>
      <c r="AO74" t="e">
        <f>AND(#REF!,"AAAAAH//3yg=")</f>
        <v>#REF!</v>
      </c>
      <c r="AP74" t="e">
        <f>AND(#REF!,"AAAAAH//3yk=")</f>
        <v>#REF!</v>
      </c>
      <c r="AQ74" t="e">
        <f>AND(#REF!,"AAAAAH//3yo=")</f>
        <v>#REF!</v>
      </c>
      <c r="AR74" t="e">
        <f>AND(#REF!,"AAAAAH//3ys=")</f>
        <v>#REF!</v>
      </c>
      <c r="AS74" t="e">
        <f>AND(#REF!,"AAAAAH//3yw=")</f>
        <v>#REF!</v>
      </c>
      <c r="AT74" t="e">
        <f>AND(#REF!,"AAAAAH//3y0=")</f>
        <v>#REF!</v>
      </c>
      <c r="AU74" t="e">
        <f>IF(#REF!,"AAAAAH//3y4=",0)</f>
        <v>#REF!</v>
      </c>
      <c r="AV74" t="e">
        <f>AND(#REF!,"AAAAAH//3y8=")</f>
        <v>#REF!</v>
      </c>
      <c r="AW74" t="e">
        <f>AND(#REF!,"AAAAAH//3zA=")</f>
        <v>#REF!</v>
      </c>
      <c r="AX74" t="e">
        <f>AND(#REF!,"AAAAAH//3zE=")</f>
        <v>#REF!</v>
      </c>
      <c r="AY74" t="e">
        <f>AND(#REF!,"AAAAAH//3zI=")</f>
        <v>#REF!</v>
      </c>
      <c r="AZ74" t="e">
        <f>AND(#REF!,"AAAAAH//3zM=")</f>
        <v>#REF!</v>
      </c>
      <c r="BA74" t="e">
        <f>AND(#REF!,"AAAAAH//3zQ=")</f>
        <v>#REF!</v>
      </c>
      <c r="BB74" t="e">
        <f>AND(#REF!,"AAAAAH//3zU=")</f>
        <v>#REF!</v>
      </c>
      <c r="BC74" t="e">
        <f>AND(#REF!,"AAAAAH//3zY=")</f>
        <v>#REF!</v>
      </c>
      <c r="BD74" t="e">
        <f>AND(#REF!,"AAAAAH//3zc=")</f>
        <v>#REF!</v>
      </c>
      <c r="BE74" t="e">
        <f>AND(#REF!,"AAAAAH//3zg=")</f>
        <v>#REF!</v>
      </c>
      <c r="BF74" t="e">
        <f>AND(#REF!,"AAAAAH//3zk=")</f>
        <v>#REF!</v>
      </c>
      <c r="BG74" t="e">
        <f>AND(#REF!,"AAAAAH//3zo=")</f>
        <v>#REF!</v>
      </c>
      <c r="BH74" t="e">
        <f>AND(#REF!,"AAAAAH//3zs=")</f>
        <v>#REF!</v>
      </c>
      <c r="BI74" t="e">
        <f>AND(#REF!,"AAAAAH//3zw=")</f>
        <v>#REF!</v>
      </c>
      <c r="BJ74" t="e">
        <f>AND(#REF!,"AAAAAH//3z0=")</f>
        <v>#REF!</v>
      </c>
      <c r="BK74" t="e">
        <f>AND(#REF!,"AAAAAH//3z4=")</f>
        <v>#REF!</v>
      </c>
      <c r="BL74" t="e">
        <f>AND(#REF!,"AAAAAH//3z8=")</f>
        <v>#REF!</v>
      </c>
      <c r="BM74" t="e">
        <f>AND(#REF!,"AAAAAH//30A=")</f>
        <v>#REF!</v>
      </c>
      <c r="BN74" t="e">
        <f>AND(#REF!,"AAAAAH//30E=")</f>
        <v>#REF!</v>
      </c>
      <c r="BO74" t="e">
        <f>AND(#REF!,"AAAAAH//30I=")</f>
        <v>#REF!</v>
      </c>
      <c r="BP74" t="e">
        <f>AND(#REF!,"AAAAAH//30M=")</f>
        <v>#REF!</v>
      </c>
      <c r="BQ74" t="e">
        <f>AND(#REF!,"AAAAAH//30Q=")</f>
        <v>#REF!</v>
      </c>
      <c r="BR74" t="e">
        <f>AND(#REF!,"AAAAAH//30U=")</f>
        <v>#REF!</v>
      </c>
      <c r="BS74" t="e">
        <f>AND(#REF!,"AAAAAH//30Y=")</f>
        <v>#REF!</v>
      </c>
      <c r="BT74" t="e">
        <f>AND(#REF!,"AAAAAH//30c=")</f>
        <v>#REF!</v>
      </c>
      <c r="BU74" t="e">
        <f>AND(#REF!,"AAAAAH//30g=")</f>
        <v>#REF!</v>
      </c>
      <c r="BV74" t="e">
        <f>AND(#REF!,"AAAAAH//30k=")</f>
        <v>#REF!</v>
      </c>
      <c r="BW74" t="e">
        <f>AND(#REF!,"AAAAAH//30o=")</f>
        <v>#REF!</v>
      </c>
      <c r="BX74" t="e">
        <f>AND(#REF!,"AAAAAH//30s=")</f>
        <v>#REF!</v>
      </c>
      <c r="BY74" t="e">
        <f>AND(#REF!,"AAAAAH//30w=")</f>
        <v>#REF!</v>
      </c>
      <c r="BZ74" t="e">
        <f>AND(#REF!,"AAAAAH//300=")</f>
        <v>#REF!</v>
      </c>
      <c r="CA74" t="e">
        <f>AND(#REF!,"AAAAAH//304=")</f>
        <v>#REF!</v>
      </c>
      <c r="CB74" t="e">
        <f>AND(#REF!,"AAAAAH//308=")</f>
        <v>#REF!</v>
      </c>
      <c r="CC74" t="e">
        <f>AND(#REF!,"AAAAAH//31A=")</f>
        <v>#REF!</v>
      </c>
      <c r="CD74" t="e">
        <f>AND(#REF!,"AAAAAH//31E=")</f>
        <v>#REF!</v>
      </c>
      <c r="CE74" t="e">
        <f>AND(#REF!,"AAAAAH//31I=")</f>
        <v>#REF!</v>
      </c>
      <c r="CF74" t="e">
        <f>AND(#REF!,"AAAAAH//31M=")</f>
        <v>#REF!</v>
      </c>
      <c r="CG74" t="e">
        <f>AND(#REF!,"AAAAAH//31Q=")</f>
        <v>#REF!</v>
      </c>
      <c r="CH74" t="e">
        <f>AND(#REF!,"AAAAAH//31U=")</f>
        <v>#REF!</v>
      </c>
      <c r="CI74" t="e">
        <f>AND(#REF!,"AAAAAH//31Y=")</f>
        <v>#REF!</v>
      </c>
      <c r="CJ74" t="e">
        <f>AND(#REF!,"AAAAAH//31c=")</f>
        <v>#REF!</v>
      </c>
      <c r="CK74" t="e">
        <f>AND(#REF!,"AAAAAH//31g=")</f>
        <v>#REF!</v>
      </c>
      <c r="CL74" t="e">
        <f>AND(#REF!,"AAAAAH//31k=")</f>
        <v>#REF!</v>
      </c>
      <c r="CM74" t="e">
        <f>AND(#REF!,"AAAAAH//31o=")</f>
        <v>#REF!</v>
      </c>
      <c r="CN74" t="e">
        <f>AND(#REF!,"AAAAAH//31s=")</f>
        <v>#REF!</v>
      </c>
      <c r="CO74" t="e">
        <f>AND(#REF!,"AAAAAH//31w=")</f>
        <v>#REF!</v>
      </c>
      <c r="CP74" t="e">
        <f>AND(#REF!,"AAAAAH//310=")</f>
        <v>#REF!</v>
      </c>
      <c r="CQ74" t="e">
        <f>AND(#REF!,"AAAAAH//314=")</f>
        <v>#REF!</v>
      </c>
      <c r="CR74" t="e">
        <f>AND(#REF!,"AAAAAH//318=")</f>
        <v>#REF!</v>
      </c>
      <c r="CS74" t="e">
        <f>AND(#REF!,"AAAAAH//32A=")</f>
        <v>#REF!</v>
      </c>
      <c r="CT74" t="e">
        <f>AND(#REF!,"AAAAAH//32E=")</f>
        <v>#REF!</v>
      </c>
      <c r="CU74" t="e">
        <f>AND(#REF!,"AAAAAH//32I=")</f>
        <v>#REF!</v>
      </c>
      <c r="CV74" t="e">
        <f>AND(#REF!,"AAAAAH//32M=")</f>
        <v>#REF!</v>
      </c>
      <c r="CW74" t="e">
        <f>AND(#REF!,"AAAAAH//32Q=")</f>
        <v>#REF!</v>
      </c>
      <c r="CX74" t="e">
        <f>IF(#REF!,"AAAAAH//32U=",0)</f>
        <v>#REF!</v>
      </c>
      <c r="CY74" t="e">
        <f>AND(#REF!,"AAAAAH//32Y=")</f>
        <v>#REF!</v>
      </c>
      <c r="CZ74" t="e">
        <f>AND(#REF!,"AAAAAH//32c=")</f>
        <v>#REF!</v>
      </c>
      <c r="DA74" t="e">
        <f>AND(#REF!,"AAAAAH//32g=")</f>
        <v>#REF!</v>
      </c>
      <c r="DB74" t="e">
        <f>AND(#REF!,"AAAAAH//32k=")</f>
        <v>#REF!</v>
      </c>
      <c r="DC74" t="e">
        <f>AND(#REF!,"AAAAAH//32o=")</f>
        <v>#REF!</v>
      </c>
      <c r="DD74" t="e">
        <f>AND(#REF!,"AAAAAH//32s=")</f>
        <v>#REF!</v>
      </c>
      <c r="DE74" t="e">
        <f>AND(#REF!,"AAAAAH//32w=")</f>
        <v>#REF!</v>
      </c>
      <c r="DF74" t="e">
        <f>AND(#REF!,"AAAAAH//320=")</f>
        <v>#REF!</v>
      </c>
      <c r="DG74" t="e">
        <f>AND(#REF!,"AAAAAH//324=")</f>
        <v>#REF!</v>
      </c>
      <c r="DH74" t="e">
        <f>AND(#REF!,"AAAAAH//328=")</f>
        <v>#REF!</v>
      </c>
      <c r="DI74" t="e">
        <f>AND(#REF!,"AAAAAH//33A=")</f>
        <v>#REF!</v>
      </c>
      <c r="DJ74" t="e">
        <f>AND(#REF!,"AAAAAH//33E=")</f>
        <v>#REF!</v>
      </c>
      <c r="DK74" t="e">
        <f>AND(#REF!,"AAAAAH//33I=")</f>
        <v>#REF!</v>
      </c>
      <c r="DL74" t="e">
        <f>AND(#REF!,"AAAAAH//33M=")</f>
        <v>#REF!</v>
      </c>
      <c r="DM74" t="e">
        <f>AND(#REF!,"AAAAAH//33Q=")</f>
        <v>#REF!</v>
      </c>
      <c r="DN74" t="e">
        <f>AND(#REF!,"AAAAAH//33U=")</f>
        <v>#REF!</v>
      </c>
      <c r="DO74" t="e">
        <f>AND(#REF!,"AAAAAH//33Y=")</f>
        <v>#REF!</v>
      </c>
      <c r="DP74" t="e">
        <f>AND(#REF!,"AAAAAH//33c=")</f>
        <v>#REF!</v>
      </c>
      <c r="DQ74" t="e">
        <f>AND(#REF!,"AAAAAH//33g=")</f>
        <v>#REF!</v>
      </c>
      <c r="DR74" t="e">
        <f>AND(#REF!,"AAAAAH//33k=")</f>
        <v>#REF!</v>
      </c>
      <c r="DS74" t="e">
        <f>AND(#REF!,"AAAAAH//33o=")</f>
        <v>#REF!</v>
      </c>
      <c r="DT74" t="e">
        <f>AND(#REF!,"AAAAAH//33s=")</f>
        <v>#REF!</v>
      </c>
      <c r="DU74" t="e">
        <f>AND(#REF!,"AAAAAH//33w=")</f>
        <v>#REF!</v>
      </c>
      <c r="DV74" t="e">
        <f>AND(#REF!,"AAAAAH//330=")</f>
        <v>#REF!</v>
      </c>
      <c r="DW74" t="e">
        <f>AND(#REF!,"AAAAAH//334=")</f>
        <v>#REF!</v>
      </c>
      <c r="DX74" t="e">
        <f>AND(#REF!,"AAAAAH//338=")</f>
        <v>#REF!</v>
      </c>
      <c r="DY74" t="e">
        <f>AND(#REF!,"AAAAAH//34A=")</f>
        <v>#REF!</v>
      </c>
      <c r="DZ74" t="e">
        <f>AND(#REF!,"AAAAAH//34E=")</f>
        <v>#REF!</v>
      </c>
      <c r="EA74" t="e">
        <f>AND(#REF!,"AAAAAH//34I=")</f>
        <v>#REF!</v>
      </c>
      <c r="EB74" t="e">
        <f>AND(#REF!,"AAAAAH//34M=")</f>
        <v>#REF!</v>
      </c>
      <c r="EC74" t="e">
        <f>AND(#REF!,"AAAAAH//34Q=")</f>
        <v>#REF!</v>
      </c>
      <c r="ED74" t="e">
        <f>AND(#REF!,"AAAAAH//34U=")</f>
        <v>#REF!</v>
      </c>
      <c r="EE74" t="e">
        <f>AND(#REF!,"AAAAAH//34Y=")</f>
        <v>#REF!</v>
      </c>
      <c r="EF74" t="e">
        <f>AND(#REF!,"AAAAAH//34c=")</f>
        <v>#REF!</v>
      </c>
      <c r="EG74" t="e">
        <f>AND(#REF!,"AAAAAH//34g=")</f>
        <v>#REF!</v>
      </c>
      <c r="EH74" t="e">
        <f>AND(#REF!,"AAAAAH//34k=")</f>
        <v>#REF!</v>
      </c>
      <c r="EI74" t="e">
        <f>AND(#REF!,"AAAAAH//34o=")</f>
        <v>#REF!</v>
      </c>
      <c r="EJ74" t="e">
        <f>AND(#REF!,"AAAAAH//34s=")</f>
        <v>#REF!</v>
      </c>
      <c r="EK74" t="e">
        <f>AND(#REF!,"AAAAAH//34w=")</f>
        <v>#REF!</v>
      </c>
      <c r="EL74" t="e">
        <f>AND(#REF!,"AAAAAH//340=")</f>
        <v>#REF!</v>
      </c>
      <c r="EM74" t="e">
        <f>AND(#REF!,"AAAAAH//344=")</f>
        <v>#REF!</v>
      </c>
      <c r="EN74" t="e">
        <f>AND(#REF!,"AAAAAH//348=")</f>
        <v>#REF!</v>
      </c>
      <c r="EO74" t="e">
        <f>AND(#REF!,"AAAAAH//35A=")</f>
        <v>#REF!</v>
      </c>
      <c r="EP74" t="e">
        <f>AND(#REF!,"AAAAAH//35E=")</f>
        <v>#REF!</v>
      </c>
      <c r="EQ74" t="e">
        <f>AND(#REF!,"AAAAAH//35I=")</f>
        <v>#REF!</v>
      </c>
      <c r="ER74" t="e">
        <f>AND(#REF!,"AAAAAH//35M=")</f>
        <v>#REF!</v>
      </c>
      <c r="ES74" t="e">
        <f>AND(#REF!,"AAAAAH//35Q=")</f>
        <v>#REF!</v>
      </c>
      <c r="ET74" t="e">
        <f>AND(#REF!,"AAAAAH//35U=")</f>
        <v>#REF!</v>
      </c>
      <c r="EU74" t="e">
        <f>AND(#REF!,"AAAAAH//35Y=")</f>
        <v>#REF!</v>
      </c>
      <c r="EV74" t="e">
        <f>AND(#REF!,"AAAAAH//35c=")</f>
        <v>#REF!</v>
      </c>
      <c r="EW74" t="e">
        <f>AND(#REF!,"AAAAAH//35g=")</f>
        <v>#REF!</v>
      </c>
      <c r="EX74" t="e">
        <f>AND(#REF!,"AAAAAH//35k=")</f>
        <v>#REF!</v>
      </c>
      <c r="EY74" t="e">
        <f>AND(#REF!,"AAAAAH//35o=")</f>
        <v>#REF!</v>
      </c>
      <c r="EZ74" t="e">
        <f>AND(#REF!,"AAAAAH//35s=")</f>
        <v>#REF!</v>
      </c>
      <c r="FA74" t="e">
        <f>IF(#REF!,"AAAAAH//35w=",0)</f>
        <v>#REF!</v>
      </c>
      <c r="FB74" t="e">
        <f>AND(#REF!,"AAAAAH//350=")</f>
        <v>#REF!</v>
      </c>
      <c r="FC74" t="e">
        <f>AND(#REF!,"AAAAAH//354=")</f>
        <v>#REF!</v>
      </c>
      <c r="FD74" t="e">
        <f>AND(#REF!,"AAAAAH//358=")</f>
        <v>#REF!</v>
      </c>
      <c r="FE74" t="e">
        <f>AND(#REF!,"AAAAAH//36A=")</f>
        <v>#REF!</v>
      </c>
      <c r="FF74" t="e">
        <f>AND(#REF!,"AAAAAH//36E=")</f>
        <v>#REF!</v>
      </c>
      <c r="FG74" t="e">
        <f>AND(#REF!,"AAAAAH//36I=")</f>
        <v>#REF!</v>
      </c>
      <c r="FH74" t="e">
        <f>AND(#REF!,"AAAAAH//36M=")</f>
        <v>#REF!</v>
      </c>
      <c r="FI74" t="e">
        <f>AND(#REF!,"AAAAAH//36Q=")</f>
        <v>#REF!</v>
      </c>
      <c r="FJ74" t="e">
        <f>AND(#REF!,"AAAAAH//36U=")</f>
        <v>#REF!</v>
      </c>
      <c r="FK74" t="e">
        <f>AND(#REF!,"AAAAAH//36Y=")</f>
        <v>#REF!</v>
      </c>
      <c r="FL74" t="e">
        <f>AND(#REF!,"AAAAAH//36c=")</f>
        <v>#REF!</v>
      </c>
      <c r="FM74" t="e">
        <f>AND(#REF!,"AAAAAH//36g=")</f>
        <v>#REF!</v>
      </c>
      <c r="FN74" t="e">
        <f>AND(#REF!,"AAAAAH//36k=")</f>
        <v>#REF!</v>
      </c>
      <c r="FO74" t="e">
        <f>AND(#REF!,"AAAAAH//36o=")</f>
        <v>#REF!</v>
      </c>
      <c r="FP74" t="e">
        <f>AND(#REF!,"AAAAAH//36s=")</f>
        <v>#REF!</v>
      </c>
      <c r="FQ74" t="e">
        <f>AND(#REF!,"AAAAAH//36w=")</f>
        <v>#REF!</v>
      </c>
      <c r="FR74" t="e">
        <f>AND(#REF!,"AAAAAH//360=")</f>
        <v>#REF!</v>
      </c>
      <c r="FS74" t="e">
        <f>AND(#REF!,"AAAAAH//364=")</f>
        <v>#REF!</v>
      </c>
      <c r="FT74" t="e">
        <f>AND(#REF!,"AAAAAH//368=")</f>
        <v>#REF!</v>
      </c>
      <c r="FU74" t="e">
        <f>AND(#REF!,"AAAAAH//37A=")</f>
        <v>#REF!</v>
      </c>
      <c r="FV74" t="e">
        <f>AND(#REF!,"AAAAAH//37E=")</f>
        <v>#REF!</v>
      </c>
      <c r="FW74" t="e">
        <f>AND(#REF!,"AAAAAH//37I=")</f>
        <v>#REF!</v>
      </c>
      <c r="FX74" t="e">
        <f>AND(#REF!,"AAAAAH//37M=")</f>
        <v>#REF!</v>
      </c>
      <c r="FY74" t="e">
        <f>AND(#REF!,"AAAAAH//37Q=")</f>
        <v>#REF!</v>
      </c>
      <c r="FZ74" t="e">
        <f>AND(#REF!,"AAAAAH//37U=")</f>
        <v>#REF!</v>
      </c>
      <c r="GA74" t="e">
        <f>AND(#REF!,"AAAAAH//37Y=")</f>
        <v>#REF!</v>
      </c>
      <c r="GB74" t="e">
        <f>AND(#REF!,"AAAAAH//37c=")</f>
        <v>#REF!</v>
      </c>
      <c r="GC74" t="e">
        <f>AND(#REF!,"AAAAAH//37g=")</f>
        <v>#REF!</v>
      </c>
      <c r="GD74" t="e">
        <f>AND(#REF!,"AAAAAH//37k=")</f>
        <v>#REF!</v>
      </c>
      <c r="GE74" t="e">
        <f>AND(#REF!,"AAAAAH//37o=")</f>
        <v>#REF!</v>
      </c>
      <c r="GF74" t="e">
        <f>AND(#REF!,"AAAAAH//37s=")</f>
        <v>#REF!</v>
      </c>
      <c r="GG74" t="e">
        <f>AND(#REF!,"AAAAAH//37w=")</f>
        <v>#REF!</v>
      </c>
      <c r="GH74" t="e">
        <f>AND(#REF!,"AAAAAH//370=")</f>
        <v>#REF!</v>
      </c>
      <c r="GI74" t="e">
        <f>AND(#REF!,"AAAAAH//374=")</f>
        <v>#REF!</v>
      </c>
      <c r="GJ74" t="e">
        <f>AND(#REF!,"AAAAAH//378=")</f>
        <v>#REF!</v>
      </c>
      <c r="GK74" t="e">
        <f>AND(#REF!,"AAAAAH//38A=")</f>
        <v>#REF!</v>
      </c>
      <c r="GL74" t="e">
        <f>AND(#REF!,"AAAAAH//38E=")</f>
        <v>#REF!</v>
      </c>
      <c r="GM74" t="e">
        <f>AND(#REF!,"AAAAAH//38I=")</f>
        <v>#REF!</v>
      </c>
      <c r="GN74" t="e">
        <f>AND(#REF!,"AAAAAH//38M=")</f>
        <v>#REF!</v>
      </c>
      <c r="GO74" t="e">
        <f>AND(#REF!,"AAAAAH//38Q=")</f>
        <v>#REF!</v>
      </c>
      <c r="GP74" t="e">
        <f>AND(#REF!,"AAAAAH//38U=")</f>
        <v>#REF!</v>
      </c>
      <c r="GQ74" t="e">
        <f>AND(#REF!,"AAAAAH//38Y=")</f>
        <v>#REF!</v>
      </c>
      <c r="GR74" t="e">
        <f>AND(#REF!,"AAAAAH//38c=")</f>
        <v>#REF!</v>
      </c>
      <c r="GS74" t="e">
        <f>AND(#REF!,"AAAAAH//38g=")</f>
        <v>#REF!</v>
      </c>
      <c r="GT74" t="e">
        <f>AND(#REF!,"AAAAAH//38k=")</f>
        <v>#REF!</v>
      </c>
      <c r="GU74" t="e">
        <f>AND(#REF!,"AAAAAH//38o=")</f>
        <v>#REF!</v>
      </c>
      <c r="GV74" t="e">
        <f>AND(#REF!,"AAAAAH//38s=")</f>
        <v>#REF!</v>
      </c>
      <c r="GW74" t="e">
        <f>AND(#REF!,"AAAAAH//38w=")</f>
        <v>#REF!</v>
      </c>
      <c r="GX74" t="e">
        <f>AND(#REF!,"AAAAAH//380=")</f>
        <v>#REF!</v>
      </c>
      <c r="GY74" t="e">
        <f>AND(#REF!,"AAAAAH//384=")</f>
        <v>#REF!</v>
      </c>
      <c r="GZ74" t="e">
        <f>AND(#REF!,"AAAAAH//388=")</f>
        <v>#REF!</v>
      </c>
      <c r="HA74" t="e">
        <f>AND(#REF!,"AAAAAH//39A=")</f>
        <v>#REF!</v>
      </c>
      <c r="HB74" t="e">
        <f>AND(#REF!,"AAAAAH//39E=")</f>
        <v>#REF!</v>
      </c>
      <c r="HC74" t="e">
        <f>AND(#REF!,"AAAAAH//39I=")</f>
        <v>#REF!</v>
      </c>
      <c r="HD74" t="e">
        <f>IF(#REF!,"AAAAAH//39M=",0)</f>
        <v>#REF!</v>
      </c>
      <c r="HE74" t="e">
        <f>AND(#REF!,"AAAAAH//39Q=")</f>
        <v>#REF!</v>
      </c>
      <c r="HF74" t="e">
        <f>AND(#REF!,"AAAAAH//39U=")</f>
        <v>#REF!</v>
      </c>
      <c r="HG74" t="e">
        <f>AND(#REF!,"AAAAAH//39Y=")</f>
        <v>#REF!</v>
      </c>
      <c r="HH74" t="e">
        <f>AND(#REF!,"AAAAAH//39c=")</f>
        <v>#REF!</v>
      </c>
      <c r="HI74" t="e">
        <f>AND(#REF!,"AAAAAH//39g=")</f>
        <v>#REF!</v>
      </c>
      <c r="HJ74" t="e">
        <f>AND(#REF!,"AAAAAH//39k=")</f>
        <v>#REF!</v>
      </c>
      <c r="HK74" t="e">
        <f>AND(#REF!,"AAAAAH//39o=")</f>
        <v>#REF!</v>
      </c>
      <c r="HL74" t="e">
        <f>AND(#REF!,"AAAAAH//39s=")</f>
        <v>#REF!</v>
      </c>
      <c r="HM74" t="e">
        <f>AND(#REF!,"AAAAAH//39w=")</f>
        <v>#REF!</v>
      </c>
      <c r="HN74" t="e">
        <f>AND(#REF!,"AAAAAH//390=")</f>
        <v>#REF!</v>
      </c>
      <c r="HO74" t="e">
        <f>AND(#REF!,"AAAAAH//394=")</f>
        <v>#REF!</v>
      </c>
      <c r="HP74" t="e">
        <f>AND(#REF!,"AAAAAH//398=")</f>
        <v>#REF!</v>
      </c>
      <c r="HQ74" t="e">
        <f>AND(#REF!,"AAAAAH//3+A=")</f>
        <v>#REF!</v>
      </c>
      <c r="HR74" t="e">
        <f>AND(#REF!,"AAAAAH//3+E=")</f>
        <v>#REF!</v>
      </c>
      <c r="HS74" t="e">
        <f>AND(#REF!,"AAAAAH//3+I=")</f>
        <v>#REF!</v>
      </c>
      <c r="HT74" t="e">
        <f>AND(#REF!,"AAAAAH//3+M=")</f>
        <v>#REF!</v>
      </c>
      <c r="HU74" t="e">
        <f>AND(#REF!,"AAAAAH//3+Q=")</f>
        <v>#REF!</v>
      </c>
      <c r="HV74" t="e">
        <f>AND(#REF!,"AAAAAH//3+U=")</f>
        <v>#REF!</v>
      </c>
      <c r="HW74" t="e">
        <f>AND(#REF!,"AAAAAH//3+Y=")</f>
        <v>#REF!</v>
      </c>
      <c r="HX74" t="e">
        <f>AND(#REF!,"AAAAAH//3+c=")</f>
        <v>#REF!</v>
      </c>
      <c r="HY74" t="e">
        <f>AND(#REF!,"AAAAAH//3+g=")</f>
        <v>#REF!</v>
      </c>
      <c r="HZ74" t="e">
        <f>AND(#REF!,"AAAAAH//3+k=")</f>
        <v>#REF!</v>
      </c>
      <c r="IA74" t="e">
        <f>AND(#REF!,"AAAAAH//3+o=")</f>
        <v>#REF!</v>
      </c>
      <c r="IB74" t="e">
        <f>AND(#REF!,"AAAAAH//3+s=")</f>
        <v>#REF!</v>
      </c>
      <c r="IC74" t="e">
        <f>AND(#REF!,"AAAAAH//3+w=")</f>
        <v>#REF!</v>
      </c>
      <c r="ID74" t="e">
        <f>AND(#REF!,"AAAAAH//3+0=")</f>
        <v>#REF!</v>
      </c>
      <c r="IE74" t="e">
        <f>AND(#REF!,"AAAAAH//3+4=")</f>
        <v>#REF!</v>
      </c>
      <c r="IF74" t="e">
        <f>AND(#REF!,"AAAAAH//3+8=")</f>
        <v>#REF!</v>
      </c>
      <c r="IG74" t="e">
        <f>AND(#REF!,"AAAAAH//3/A=")</f>
        <v>#REF!</v>
      </c>
      <c r="IH74" t="e">
        <f>AND(#REF!,"AAAAAH//3/E=")</f>
        <v>#REF!</v>
      </c>
      <c r="II74" t="e">
        <f>AND(#REF!,"AAAAAH//3/I=")</f>
        <v>#REF!</v>
      </c>
      <c r="IJ74" t="e">
        <f>AND(#REF!,"AAAAAH//3/M=")</f>
        <v>#REF!</v>
      </c>
      <c r="IK74" t="e">
        <f>AND(#REF!,"AAAAAH//3/Q=")</f>
        <v>#REF!</v>
      </c>
      <c r="IL74" t="e">
        <f>AND(#REF!,"AAAAAH//3/U=")</f>
        <v>#REF!</v>
      </c>
      <c r="IM74" t="e">
        <f>AND(#REF!,"AAAAAH//3/Y=")</f>
        <v>#REF!</v>
      </c>
      <c r="IN74" t="e">
        <f>AND(#REF!,"AAAAAH//3/c=")</f>
        <v>#REF!</v>
      </c>
      <c r="IO74" t="e">
        <f>AND(#REF!,"AAAAAH//3/g=")</f>
        <v>#REF!</v>
      </c>
      <c r="IP74" t="e">
        <f>AND(#REF!,"AAAAAH//3/k=")</f>
        <v>#REF!</v>
      </c>
      <c r="IQ74" t="e">
        <f>AND(#REF!,"AAAAAH//3/o=")</f>
        <v>#REF!</v>
      </c>
      <c r="IR74" t="e">
        <f>AND(#REF!,"AAAAAH//3/s=")</f>
        <v>#REF!</v>
      </c>
      <c r="IS74" t="e">
        <f>AND(#REF!,"AAAAAH//3/w=")</f>
        <v>#REF!</v>
      </c>
      <c r="IT74" t="e">
        <f>AND(#REF!,"AAAAAH//3/0=")</f>
        <v>#REF!</v>
      </c>
      <c r="IU74" t="e">
        <f>AND(#REF!,"AAAAAH//3/4=")</f>
        <v>#REF!</v>
      </c>
      <c r="IV74" t="e">
        <f>AND(#REF!,"AAAAAH//3/8=")</f>
        <v>#REF!</v>
      </c>
    </row>
    <row r="75" spans="1:256" x14ac:dyDescent="0.25">
      <c r="A75" t="e">
        <f>AND(#REF!,"AAAAAD3dZwA=")</f>
        <v>#REF!</v>
      </c>
      <c r="B75" t="e">
        <f>AND(#REF!,"AAAAAD3dZwE=")</f>
        <v>#REF!</v>
      </c>
      <c r="C75" t="e">
        <f>AND(#REF!,"AAAAAD3dZwI=")</f>
        <v>#REF!</v>
      </c>
      <c r="D75" t="e">
        <f>AND(#REF!,"AAAAAD3dZwM=")</f>
        <v>#REF!</v>
      </c>
      <c r="E75" t="e">
        <f>AND(#REF!,"AAAAAD3dZwQ=")</f>
        <v>#REF!</v>
      </c>
      <c r="F75" t="e">
        <f>AND(#REF!,"AAAAAD3dZwU=")</f>
        <v>#REF!</v>
      </c>
      <c r="G75" t="e">
        <f>AND(#REF!,"AAAAAD3dZwY=")</f>
        <v>#REF!</v>
      </c>
      <c r="H75" t="e">
        <f>AND(#REF!,"AAAAAD3dZwc=")</f>
        <v>#REF!</v>
      </c>
      <c r="I75" t="e">
        <f>AND(#REF!,"AAAAAD3dZwg=")</f>
        <v>#REF!</v>
      </c>
      <c r="J75" t="e">
        <f>AND(#REF!,"AAAAAD3dZwk=")</f>
        <v>#REF!</v>
      </c>
      <c r="K75" t="e">
        <f>IF(#REF!,"AAAAAD3dZwo=",0)</f>
        <v>#REF!</v>
      </c>
      <c r="L75" t="e">
        <f>AND(#REF!,"AAAAAD3dZws=")</f>
        <v>#REF!</v>
      </c>
      <c r="M75" t="e">
        <f>AND(#REF!,"AAAAAD3dZww=")</f>
        <v>#REF!</v>
      </c>
      <c r="N75" t="e">
        <f>AND(#REF!,"AAAAAD3dZw0=")</f>
        <v>#REF!</v>
      </c>
      <c r="O75" t="e">
        <f>AND(#REF!,"AAAAAD3dZw4=")</f>
        <v>#REF!</v>
      </c>
      <c r="P75" t="e">
        <f>AND(#REF!,"AAAAAD3dZw8=")</f>
        <v>#REF!</v>
      </c>
      <c r="Q75" t="e">
        <f>AND(#REF!,"AAAAAD3dZxA=")</f>
        <v>#REF!</v>
      </c>
      <c r="R75" t="e">
        <f>AND(#REF!,"AAAAAD3dZxE=")</f>
        <v>#REF!</v>
      </c>
      <c r="S75" t="e">
        <f>AND(#REF!,"AAAAAD3dZxI=")</f>
        <v>#REF!</v>
      </c>
      <c r="T75" t="e">
        <f>AND(#REF!,"AAAAAD3dZxM=")</f>
        <v>#REF!</v>
      </c>
      <c r="U75" t="e">
        <f>AND(#REF!,"AAAAAD3dZxQ=")</f>
        <v>#REF!</v>
      </c>
      <c r="V75" t="e">
        <f>AND(#REF!,"AAAAAD3dZxU=")</f>
        <v>#REF!</v>
      </c>
      <c r="W75" t="e">
        <f>AND(#REF!,"AAAAAD3dZxY=")</f>
        <v>#REF!</v>
      </c>
      <c r="X75" t="e">
        <f>AND(#REF!,"AAAAAD3dZxc=")</f>
        <v>#REF!</v>
      </c>
      <c r="Y75" t="e">
        <f>AND(#REF!,"AAAAAD3dZxg=")</f>
        <v>#REF!</v>
      </c>
      <c r="Z75" t="e">
        <f>AND(#REF!,"AAAAAD3dZxk=")</f>
        <v>#REF!</v>
      </c>
      <c r="AA75" t="e">
        <f>AND(#REF!,"AAAAAD3dZxo=")</f>
        <v>#REF!</v>
      </c>
      <c r="AB75" t="e">
        <f>AND(#REF!,"AAAAAD3dZxs=")</f>
        <v>#REF!</v>
      </c>
      <c r="AC75" t="e">
        <f>AND(#REF!,"AAAAAD3dZxw=")</f>
        <v>#REF!</v>
      </c>
      <c r="AD75" t="e">
        <f>AND(#REF!,"AAAAAD3dZx0=")</f>
        <v>#REF!</v>
      </c>
      <c r="AE75" t="e">
        <f>AND(#REF!,"AAAAAD3dZx4=")</f>
        <v>#REF!</v>
      </c>
      <c r="AF75" t="e">
        <f>AND(#REF!,"AAAAAD3dZx8=")</f>
        <v>#REF!</v>
      </c>
      <c r="AG75" t="e">
        <f>AND(#REF!,"AAAAAD3dZyA=")</f>
        <v>#REF!</v>
      </c>
      <c r="AH75" t="e">
        <f>AND(#REF!,"AAAAAD3dZyE=")</f>
        <v>#REF!</v>
      </c>
      <c r="AI75" t="e">
        <f>AND(#REF!,"AAAAAD3dZyI=")</f>
        <v>#REF!</v>
      </c>
      <c r="AJ75" t="e">
        <f>AND(#REF!,"AAAAAD3dZyM=")</f>
        <v>#REF!</v>
      </c>
      <c r="AK75" t="e">
        <f>AND(#REF!,"AAAAAD3dZyQ=")</f>
        <v>#REF!</v>
      </c>
      <c r="AL75" t="e">
        <f>AND(#REF!,"AAAAAD3dZyU=")</f>
        <v>#REF!</v>
      </c>
      <c r="AM75" t="e">
        <f>AND(#REF!,"AAAAAD3dZyY=")</f>
        <v>#REF!</v>
      </c>
      <c r="AN75" t="e">
        <f>AND(#REF!,"AAAAAD3dZyc=")</f>
        <v>#REF!</v>
      </c>
      <c r="AO75" t="e">
        <f>AND(#REF!,"AAAAAD3dZyg=")</f>
        <v>#REF!</v>
      </c>
      <c r="AP75" t="e">
        <f>AND(#REF!,"AAAAAD3dZyk=")</f>
        <v>#REF!</v>
      </c>
      <c r="AQ75" t="e">
        <f>AND(#REF!,"AAAAAD3dZyo=")</f>
        <v>#REF!</v>
      </c>
      <c r="AR75" t="e">
        <f>AND(#REF!,"AAAAAD3dZys=")</f>
        <v>#REF!</v>
      </c>
      <c r="AS75" t="e">
        <f>AND(#REF!,"AAAAAD3dZyw=")</f>
        <v>#REF!</v>
      </c>
      <c r="AT75" t="e">
        <f>AND(#REF!,"AAAAAD3dZy0=")</f>
        <v>#REF!</v>
      </c>
      <c r="AU75" t="e">
        <f>AND(#REF!,"AAAAAD3dZy4=")</f>
        <v>#REF!</v>
      </c>
      <c r="AV75" t="e">
        <f>AND(#REF!,"AAAAAD3dZy8=")</f>
        <v>#REF!</v>
      </c>
      <c r="AW75" t="e">
        <f>AND(#REF!,"AAAAAD3dZzA=")</f>
        <v>#REF!</v>
      </c>
      <c r="AX75" t="e">
        <f>AND(#REF!,"AAAAAD3dZzE=")</f>
        <v>#REF!</v>
      </c>
      <c r="AY75" t="e">
        <f>AND(#REF!,"AAAAAD3dZzI=")</f>
        <v>#REF!</v>
      </c>
      <c r="AZ75" t="e">
        <f>AND(#REF!,"AAAAAD3dZzM=")</f>
        <v>#REF!</v>
      </c>
      <c r="BA75" t="e">
        <f>AND(#REF!,"AAAAAD3dZzQ=")</f>
        <v>#REF!</v>
      </c>
      <c r="BB75" t="e">
        <f>AND(#REF!,"AAAAAD3dZzU=")</f>
        <v>#REF!</v>
      </c>
      <c r="BC75" t="e">
        <f>AND(#REF!,"AAAAAD3dZzY=")</f>
        <v>#REF!</v>
      </c>
      <c r="BD75" t="e">
        <f>AND(#REF!,"AAAAAD3dZzc=")</f>
        <v>#REF!</v>
      </c>
      <c r="BE75" t="e">
        <f>AND(#REF!,"AAAAAD3dZzg=")</f>
        <v>#REF!</v>
      </c>
      <c r="BF75" t="e">
        <f>AND(#REF!,"AAAAAD3dZzk=")</f>
        <v>#REF!</v>
      </c>
      <c r="BG75" t="e">
        <f>AND(#REF!,"AAAAAD3dZzo=")</f>
        <v>#REF!</v>
      </c>
      <c r="BH75" t="e">
        <f>AND(#REF!,"AAAAAD3dZzs=")</f>
        <v>#REF!</v>
      </c>
      <c r="BI75" t="e">
        <f>AND(#REF!,"AAAAAD3dZzw=")</f>
        <v>#REF!</v>
      </c>
      <c r="BJ75" t="e">
        <f>AND(#REF!,"AAAAAD3dZz0=")</f>
        <v>#REF!</v>
      </c>
      <c r="BK75" t="e">
        <f>AND(#REF!,"AAAAAD3dZz4=")</f>
        <v>#REF!</v>
      </c>
      <c r="BL75" t="e">
        <f>AND(#REF!,"AAAAAD3dZz8=")</f>
        <v>#REF!</v>
      </c>
      <c r="BM75" t="e">
        <f>AND(#REF!,"AAAAAD3dZ0A=")</f>
        <v>#REF!</v>
      </c>
      <c r="BN75" t="e">
        <f>IF(#REF!,"AAAAAD3dZ0E=",0)</f>
        <v>#REF!</v>
      </c>
      <c r="BO75" t="e">
        <f>AND(#REF!,"AAAAAD3dZ0I=")</f>
        <v>#REF!</v>
      </c>
      <c r="BP75" t="e">
        <f>AND(#REF!,"AAAAAD3dZ0M=")</f>
        <v>#REF!</v>
      </c>
      <c r="BQ75" t="e">
        <f>AND(#REF!,"AAAAAD3dZ0Q=")</f>
        <v>#REF!</v>
      </c>
      <c r="BR75" t="e">
        <f>AND(#REF!,"AAAAAD3dZ0U=")</f>
        <v>#REF!</v>
      </c>
      <c r="BS75" t="e">
        <f>AND(#REF!,"AAAAAD3dZ0Y=")</f>
        <v>#REF!</v>
      </c>
      <c r="BT75" t="e">
        <f>AND(#REF!,"AAAAAD3dZ0c=")</f>
        <v>#REF!</v>
      </c>
      <c r="BU75" t="e">
        <f>AND(#REF!,"AAAAAD3dZ0g=")</f>
        <v>#REF!</v>
      </c>
      <c r="BV75" t="e">
        <f>AND(#REF!,"AAAAAD3dZ0k=")</f>
        <v>#REF!</v>
      </c>
      <c r="BW75" t="e">
        <f>AND(#REF!,"AAAAAD3dZ0o=")</f>
        <v>#REF!</v>
      </c>
      <c r="BX75" t="e">
        <f>AND(#REF!,"AAAAAD3dZ0s=")</f>
        <v>#REF!</v>
      </c>
      <c r="BY75" t="e">
        <f>AND(#REF!,"AAAAAD3dZ0w=")</f>
        <v>#REF!</v>
      </c>
      <c r="BZ75" t="e">
        <f>AND(#REF!,"AAAAAD3dZ00=")</f>
        <v>#REF!</v>
      </c>
      <c r="CA75" t="e">
        <f>AND(#REF!,"AAAAAD3dZ04=")</f>
        <v>#REF!</v>
      </c>
      <c r="CB75" t="e">
        <f>AND(#REF!,"AAAAAD3dZ08=")</f>
        <v>#REF!</v>
      </c>
      <c r="CC75" t="e">
        <f>AND(#REF!,"AAAAAD3dZ1A=")</f>
        <v>#REF!</v>
      </c>
      <c r="CD75" t="e">
        <f>AND(#REF!,"AAAAAD3dZ1E=")</f>
        <v>#REF!</v>
      </c>
      <c r="CE75" t="e">
        <f>AND(#REF!,"AAAAAD3dZ1I=")</f>
        <v>#REF!</v>
      </c>
      <c r="CF75" t="e">
        <f>AND(#REF!,"AAAAAD3dZ1M=")</f>
        <v>#REF!</v>
      </c>
      <c r="CG75" t="e">
        <f>AND(#REF!,"AAAAAD3dZ1Q=")</f>
        <v>#REF!</v>
      </c>
      <c r="CH75" t="e">
        <f>AND(#REF!,"AAAAAD3dZ1U=")</f>
        <v>#REF!</v>
      </c>
      <c r="CI75" t="e">
        <f>AND(#REF!,"AAAAAD3dZ1Y=")</f>
        <v>#REF!</v>
      </c>
      <c r="CJ75" t="e">
        <f>AND(#REF!,"AAAAAD3dZ1c=")</f>
        <v>#REF!</v>
      </c>
      <c r="CK75" t="e">
        <f>AND(#REF!,"AAAAAD3dZ1g=")</f>
        <v>#REF!</v>
      </c>
      <c r="CL75" t="e">
        <f>AND(#REF!,"AAAAAD3dZ1k=")</f>
        <v>#REF!</v>
      </c>
      <c r="CM75" t="e">
        <f>AND(#REF!,"AAAAAD3dZ1o=")</f>
        <v>#REF!</v>
      </c>
      <c r="CN75" t="e">
        <f>AND(#REF!,"AAAAAD3dZ1s=")</f>
        <v>#REF!</v>
      </c>
      <c r="CO75" t="e">
        <f>AND(#REF!,"AAAAAD3dZ1w=")</f>
        <v>#REF!</v>
      </c>
      <c r="CP75" t="e">
        <f>AND(#REF!,"AAAAAD3dZ10=")</f>
        <v>#REF!</v>
      </c>
      <c r="CQ75" t="e">
        <f>AND(#REF!,"AAAAAD3dZ14=")</f>
        <v>#REF!</v>
      </c>
      <c r="CR75" t="e">
        <f>AND(#REF!,"AAAAAD3dZ18=")</f>
        <v>#REF!</v>
      </c>
      <c r="CS75" t="e">
        <f>AND(#REF!,"AAAAAD3dZ2A=")</f>
        <v>#REF!</v>
      </c>
      <c r="CT75" t="e">
        <f>AND(#REF!,"AAAAAD3dZ2E=")</f>
        <v>#REF!</v>
      </c>
      <c r="CU75" t="e">
        <f>AND(#REF!,"AAAAAD3dZ2I=")</f>
        <v>#REF!</v>
      </c>
      <c r="CV75" t="e">
        <f>AND(#REF!,"AAAAAD3dZ2M=")</f>
        <v>#REF!</v>
      </c>
      <c r="CW75" t="e">
        <f>AND(#REF!,"AAAAAD3dZ2Q=")</f>
        <v>#REF!</v>
      </c>
      <c r="CX75" t="e">
        <f>AND(#REF!,"AAAAAD3dZ2U=")</f>
        <v>#REF!</v>
      </c>
      <c r="CY75" t="e">
        <f>AND(#REF!,"AAAAAD3dZ2Y=")</f>
        <v>#REF!</v>
      </c>
      <c r="CZ75" t="e">
        <f>AND(#REF!,"AAAAAD3dZ2c=")</f>
        <v>#REF!</v>
      </c>
      <c r="DA75" t="e">
        <f>AND(#REF!,"AAAAAD3dZ2g=")</f>
        <v>#REF!</v>
      </c>
      <c r="DB75" t="e">
        <f>AND(#REF!,"AAAAAD3dZ2k=")</f>
        <v>#REF!</v>
      </c>
      <c r="DC75" t="e">
        <f>AND(#REF!,"AAAAAD3dZ2o=")</f>
        <v>#REF!</v>
      </c>
      <c r="DD75" t="e">
        <f>AND(#REF!,"AAAAAD3dZ2s=")</f>
        <v>#REF!</v>
      </c>
      <c r="DE75" t="e">
        <f>AND(#REF!,"AAAAAD3dZ2w=")</f>
        <v>#REF!</v>
      </c>
      <c r="DF75" t="e">
        <f>AND(#REF!,"AAAAAD3dZ20=")</f>
        <v>#REF!</v>
      </c>
      <c r="DG75" t="e">
        <f>AND(#REF!,"AAAAAD3dZ24=")</f>
        <v>#REF!</v>
      </c>
      <c r="DH75" t="e">
        <f>AND(#REF!,"AAAAAD3dZ28=")</f>
        <v>#REF!</v>
      </c>
      <c r="DI75" t="e">
        <f>AND(#REF!,"AAAAAD3dZ3A=")</f>
        <v>#REF!</v>
      </c>
      <c r="DJ75" t="e">
        <f>AND(#REF!,"AAAAAD3dZ3E=")</f>
        <v>#REF!</v>
      </c>
      <c r="DK75" t="e">
        <f>AND(#REF!,"AAAAAD3dZ3I=")</f>
        <v>#REF!</v>
      </c>
      <c r="DL75" t="e">
        <f>AND(#REF!,"AAAAAD3dZ3M=")</f>
        <v>#REF!</v>
      </c>
      <c r="DM75" t="e">
        <f>AND(#REF!,"AAAAAD3dZ3Q=")</f>
        <v>#REF!</v>
      </c>
      <c r="DN75" t="e">
        <f>AND(#REF!,"AAAAAD3dZ3U=")</f>
        <v>#REF!</v>
      </c>
      <c r="DO75" t="e">
        <f>AND(#REF!,"AAAAAD3dZ3Y=")</f>
        <v>#REF!</v>
      </c>
      <c r="DP75" t="e">
        <f>AND(#REF!,"AAAAAD3dZ3c=")</f>
        <v>#REF!</v>
      </c>
      <c r="DQ75" t="e">
        <f>IF(#REF!,"AAAAAD3dZ3g=",0)</f>
        <v>#REF!</v>
      </c>
      <c r="DR75" t="e">
        <f>AND(#REF!,"AAAAAD3dZ3k=")</f>
        <v>#REF!</v>
      </c>
      <c r="DS75" t="e">
        <f>AND(#REF!,"AAAAAD3dZ3o=")</f>
        <v>#REF!</v>
      </c>
      <c r="DT75" t="e">
        <f>AND(#REF!,"AAAAAD3dZ3s=")</f>
        <v>#REF!</v>
      </c>
      <c r="DU75" t="e">
        <f>AND(#REF!,"AAAAAD3dZ3w=")</f>
        <v>#REF!</v>
      </c>
      <c r="DV75" t="e">
        <f>AND(#REF!,"AAAAAD3dZ30=")</f>
        <v>#REF!</v>
      </c>
      <c r="DW75" t="e">
        <f>AND(#REF!,"AAAAAD3dZ34=")</f>
        <v>#REF!</v>
      </c>
      <c r="DX75" t="e">
        <f>AND(#REF!,"AAAAAD3dZ38=")</f>
        <v>#REF!</v>
      </c>
      <c r="DY75" t="e">
        <f>AND(#REF!,"AAAAAD3dZ4A=")</f>
        <v>#REF!</v>
      </c>
      <c r="DZ75" t="e">
        <f>AND(#REF!,"AAAAAD3dZ4E=")</f>
        <v>#REF!</v>
      </c>
      <c r="EA75" t="e">
        <f>AND(#REF!,"AAAAAD3dZ4I=")</f>
        <v>#REF!</v>
      </c>
      <c r="EB75" t="e">
        <f>AND(#REF!,"AAAAAD3dZ4M=")</f>
        <v>#REF!</v>
      </c>
      <c r="EC75" t="e">
        <f>AND(#REF!,"AAAAAD3dZ4Q=")</f>
        <v>#REF!</v>
      </c>
      <c r="ED75" t="e">
        <f>AND(#REF!,"AAAAAD3dZ4U=")</f>
        <v>#REF!</v>
      </c>
      <c r="EE75" t="e">
        <f>AND(#REF!,"AAAAAD3dZ4Y=")</f>
        <v>#REF!</v>
      </c>
      <c r="EF75" t="e">
        <f>AND(#REF!,"AAAAAD3dZ4c=")</f>
        <v>#REF!</v>
      </c>
      <c r="EG75" t="e">
        <f>AND(#REF!,"AAAAAD3dZ4g=")</f>
        <v>#REF!</v>
      </c>
      <c r="EH75" t="e">
        <f>AND(#REF!,"AAAAAD3dZ4k=")</f>
        <v>#REF!</v>
      </c>
      <c r="EI75" t="e">
        <f>AND(#REF!,"AAAAAD3dZ4o=")</f>
        <v>#REF!</v>
      </c>
      <c r="EJ75" t="e">
        <f>AND(#REF!,"AAAAAD3dZ4s=")</f>
        <v>#REF!</v>
      </c>
      <c r="EK75" t="e">
        <f>AND(#REF!,"AAAAAD3dZ4w=")</f>
        <v>#REF!</v>
      </c>
      <c r="EL75" t="e">
        <f>AND(#REF!,"AAAAAD3dZ40=")</f>
        <v>#REF!</v>
      </c>
      <c r="EM75" t="e">
        <f>AND(#REF!,"AAAAAD3dZ44=")</f>
        <v>#REF!</v>
      </c>
      <c r="EN75" t="e">
        <f>AND(#REF!,"AAAAAD3dZ48=")</f>
        <v>#REF!</v>
      </c>
      <c r="EO75" t="e">
        <f>AND(#REF!,"AAAAAD3dZ5A=")</f>
        <v>#REF!</v>
      </c>
      <c r="EP75" t="e">
        <f>AND(#REF!,"AAAAAD3dZ5E=")</f>
        <v>#REF!</v>
      </c>
      <c r="EQ75" t="e">
        <f>AND(#REF!,"AAAAAD3dZ5I=")</f>
        <v>#REF!</v>
      </c>
      <c r="ER75" t="e">
        <f>AND(#REF!,"AAAAAD3dZ5M=")</f>
        <v>#REF!</v>
      </c>
      <c r="ES75" t="e">
        <f>AND(#REF!,"AAAAAD3dZ5Q=")</f>
        <v>#REF!</v>
      </c>
      <c r="ET75" t="e">
        <f>AND(#REF!,"AAAAAD3dZ5U=")</f>
        <v>#REF!</v>
      </c>
      <c r="EU75" t="e">
        <f>AND(#REF!,"AAAAAD3dZ5Y=")</f>
        <v>#REF!</v>
      </c>
      <c r="EV75" t="e">
        <f>AND(#REF!,"AAAAAD3dZ5c=")</f>
        <v>#REF!</v>
      </c>
      <c r="EW75" t="e">
        <f>AND(#REF!,"AAAAAD3dZ5g=")</f>
        <v>#REF!</v>
      </c>
      <c r="EX75" t="e">
        <f>AND(#REF!,"AAAAAD3dZ5k=")</f>
        <v>#REF!</v>
      </c>
      <c r="EY75" t="e">
        <f>AND(#REF!,"AAAAAD3dZ5o=")</f>
        <v>#REF!</v>
      </c>
      <c r="EZ75" t="e">
        <f>AND(#REF!,"AAAAAD3dZ5s=")</f>
        <v>#REF!</v>
      </c>
      <c r="FA75" t="e">
        <f>AND(#REF!,"AAAAAD3dZ5w=")</f>
        <v>#REF!</v>
      </c>
      <c r="FB75" t="e">
        <f>AND(#REF!,"AAAAAD3dZ50=")</f>
        <v>#REF!</v>
      </c>
      <c r="FC75" t="e">
        <f>AND(#REF!,"AAAAAD3dZ54=")</f>
        <v>#REF!</v>
      </c>
      <c r="FD75" t="e">
        <f>AND(#REF!,"AAAAAD3dZ58=")</f>
        <v>#REF!</v>
      </c>
      <c r="FE75" t="e">
        <f>AND(#REF!,"AAAAAD3dZ6A=")</f>
        <v>#REF!</v>
      </c>
      <c r="FF75" t="e">
        <f>AND(#REF!,"AAAAAD3dZ6E=")</f>
        <v>#REF!</v>
      </c>
      <c r="FG75" t="e">
        <f>AND(#REF!,"AAAAAD3dZ6I=")</f>
        <v>#REF!</v>
      </c>
      <c r="FH75" t="e">
        <f>AND(#REF!,"AAAAAD3dZ6M=")</f>
        <v>#REF!</v>
      </c>
      <c r="FI75" t="e">
        <f>AND(#REF!,"AAAAAD3dZ6Q=")</f>
        <v>#REF!</v>
      </c>
      <c r="FJ75" t="e">
        <f>AND(#REF!,"AAAAAD3dZ6U=")</f>
        <v>#REF!</v>
      </c>
      <c r="FK75" t="e">
        <f>AND(#REF!,"AAAAAD3dZ6Y=")</f>
        <v>#REF!</v>
      </c>
      <c r="FL75" t="e">
        <f>AND(#REF!,"AAAAAD3dZ6c=")</f>
        <v>#REF!</v>
      </c>
      <c r="FM75" t="e">
        <f>AND(#REF!,"AAAAAD3dZ6g=")</f>
        <v>#REF!</v>
      </c>
      <c r="FN75" t="e">
        <f>AND(#REF!,"AAAAAD3dZ6k=")</f>
        <v>#REF!</v>
      </c>
      <c r="FO75" t="e">
        <f>AND(#REF!,"AAAAAD3dZ6o=")</f>
        <v>#REF!</v>
      </c>
      <c r="FP75" t="e">
        <f>AND(#REF!,"AAAAAD3dZ6s=")</f>
        <v>#REF!</v>
      </c>
      <c r="FQ75" t="e">
        <f>AND(#REF!,"AAAAAD3dZ6w=")</f>
        <v>#REF!</v>
      </c>
      <c r="FR75" t="e">
        <f>AND(#REF!,"AAAAAD3dZ60=")</f>
        <v>#REF!</v>
      </c>
      <c r="FS75" t="e">
        <f>AND(#REF!,"AAAAAD3dZ64=")</f>
        <v>#REF!</v>
      </c>
      <c r="FT75" t="e">
        <f>IF(#REF!,"AAAAAD3dZ68=",0)</f>
        <v>#REF!</v>
      </c>
      <c r="FU75" t="e">
        <f>AND(#REF!,"AAAAAD3dZ7A=")</f>
        <v>#REF!</v>
      </c>
      <c r="FV75" t="e">
        <f>AND(#REF!,"AAAAAD3dZ7E=")</f>
        <v>#REF!</v>
      </c>
      <c r="FW75" t="e">
        <f>AND(#REF!,"AAAAAD3dZ7I=")</f>
        <v>#REF!</v>
      </c>
      <c r="FX75" t="e">
        <f>AND(#REF!,"AAAAAD3dZ7M=")</f>
        <v>#REF!</v>
      </c>
      <c r="FY75" t="e">
        <f>AND(#REF!,"AAAAAD3dZ7Q=")</f>
        <v>#REF!</v>
      </c>
      <c r="FZ75" t="e">
        <f>AND(#REF!,"AAAAAD3dZ7U=")</f>
        <v>#REF!</v>
      </c>
      <c r="GA75" t="e">
        <f>AND(#REF!,"AAAAAD3dZ7Y=")</f>
        <v>#REF!</v>
      </c>
      <c r="GB75" t="e">
        <f>AND(#REF!,"AAAAAD3dZ7c=")</f>
        <v>#REF!</v>
      </c>
      <c r="GC75" t="e">
        <f>AND(#REF!,"AAAAAD3dZ7g=")</f>
        <v>#REF!</v>
      </c>
      <c r="GD75" t="e">
        <f>AND(#REF!,"AAAAAD3dZ7k=")</f>
        <v>#REF!</v>
      </c>
      <c r="GE75" t="e">
        <f>AND(#REF!,"AAAAAD3dZ7o=")</f>
        <v>#REF!</v>
      </c>
      <c r="GF75" t="e">
        <f>AND(#REF!,"AAAAAD3dZ7s=")</f>
        <v>#REF!</v>
      </c>
      <c r="GG75" t="e">
        <f>AND(#REF!,"AAAAAD3dZ7w=")</f>
        <v>#REF!</v>
      </c>
      <c r="GH75" t="e">
        <f>AND(#REF!,"AAAAAD3dZ70=")</f>
        <v>#REF!</v>
      </c>
      <c r="GI75" t="e">
        <f>AND(#REF!,"AAAAAD3dZ74=")</f>
        <v>#REF!</v>
      </c>
      <c r="GJ75" t="e">
        <f>AND(#REF!,"AAAAAD3dZ78=")</f>
        <v>#REF!</v>
      </c>
      <c r="GK75" t="e">
        <f>AND(#REF!,"AAAAAD3dZ8A=")</f>
        <v>#REF!</v>
      </c>
      <c r="GL75" t="e">
        <f>AND(#REF!,"AAAAAD3dZ8E=")</f>
        <v>#REF!</v>
      </c>
      <c r="GM75" t="e">
        <f>AND(#REF!,"AAAAAD3dZ8I=")</f>
        <v>#REF!</v>
      </c>
      <c r="GN75" t="e">
        <f>AND(#REF!,"AAAAAD3dZ8M=")</f>
        <v>#REF!</v>
      </c>
      <c r="GO75" t="e">
        <f>AND(#REF!,"AAAAAD3dZ8Q=")</f>
        <v>#REF!</v>
      </c>
      <c r="GP75" t="e">
        <f>AND(#REF!,"AAAAAD3dZ8U=")</f>
        <v>#REF!</v>
      </c>
      <c r="GQ75" t="e">
        <f>AND(#REF!,"AAAAAD3dZ8Y=")</f>
        <v>#REF!</v>
      </c>
      <c r="GR75" t="e">
        <f>AND(#REF!,"AAAAAD3dZ8c=")</f>
        <v>#REF!</v>
      </c>
      <c r="GS75" t="e">
        <f>AND(#REF!,"AAAAAD3dZ8g=")</f>
        <v>#REF!</v>
      </c>
      <c r="GT75" t="e">
        <f>AND(#REF!,"AAAAAD3dZ8k=")</f>
        <v>#REF!</v>
      </c>
      <c r="GU75" t="e">
        <f>AND(#REF!,"AAAAAD3dZ8o=")</f>
        <v>#REF!</v>
      </c>
      <c r="GV75" t="e">
        <f>AND(#REF!,"AAAAAD3dZ8s=")</f>
        <v>#REF!</v>
      </c>
      <c r="GW75" t="e">
        <f>AND(#REF!,"AAAAAD3dZ8w=")</f>
        <v>#REF!</v>
      </c>
      <c r="GX75" t="e">
        <f>AND(#REF!,"AAAAAD3dZ80=")</f>
        <v>#REF!</v>
      </c>
      <c r="GY75" t="e">
        <f>AND(#REF!,"AAAAAD3dZ84=")</f>
        <v>#REF!</v>
      </c>
      <c r="GZ75" t="e">
        <f>AND(#REF!,"AAAAAD3dZ88=")</f>
        <v>#REF!</v>
      </c>
      <c r="HA75" t="e">
        <f>AND(#REF!,"AAAAAD3dZ9A=")</f>
        <v>#REF!</v>
      </c>
      <c r="HB75" t="e">
        <f>AND(#REF!,"AAAAAD3dZ9E=")</f>
        <v>#REF!</v>
      </c>
      <c r="HC75" t="e">
        <f>AND(#REF!,"AAAAAD3dZ9I=")</f>
        <v>#REF!</v>
      </c>
      <c r="HD75" t="e">
        <f>AND(#REF!,"AAAAAD3dZ9M=")</f>
        <v>#REF!</v>
      </c>
      <c r="HE75" t="e">
        <f>AND(#REF!,"AAAAAD3dZ9Q=")</f>
        <v>#REF!</v>
      </c>
      <c r="HF75" t="e">
        <f>AND(#REF!,"AAAAAD3dZ9U=")</f>
        <v>#REF!</v>
      </c>
      <c r="HG75" t="e">
        <f>AND(#REF!,"AAAAAD3dZ9Y=")</f>
        <v>#REF!</v>
      </c>
      <c r="HH75" t="e">
        <f>AND(#REF!,"AAAAAD3dZ9c=")</f>
        <v>#REF!</v>
      </c>
      <c r="HI75" t="e">
        <f>AND(#REF!,"AAAAAD3dZ9g=")</f>
        <v>#REF!</v>
      </c>
      <c r="HJ75" t="e">
        <f>AND(#REF!,"AAAAAD3dZ9k=")</f>
        <v>#REF!</v>
      </c>
      <c r="HK75" t="e">
        <f>AND(#REF!,"AAAAAD3dZ9o=")</f>
        <v>#REF!</v>
      </c>
      <c r="HL75" t="e">
        <f>AND(#REF!,"AAAAAD3dZ9s=")</f>
        <v>#REF!</v>
      </c>
      <c r="HM75" t="e">
        <f>AND(#REF!,"AAAAAD3dZ9w=")</f>
        <v>#REF!</v>
      </c>
      <c r="HN75" t="e">
        <f>AND(#REF!,"AAAAAD3dZ90=")</f>
        <v>#REF!</v>
      </c>
      <c r="HO75" t="e">
        <f>AND(#REF!,"AAAAAD3dZ94=")</f>
        <v>#REF!</v>
      </c>
      <c r="HP75" t="e">
        <f>AND(#REF!,"AAAAAD3dZ98=")</f>
        <v>#REF!</v>
      </c>
      <c r="HQ75" t="e">
        <f>AND(#REF!,"AAAAAD3dZ+A=")</f>
        <v>#REF!</v>
      </c>
      <c r="HR75" t="e">
        <f>AND(#REF!,"AAAAAD3dZ+E=")</f>
        <v>#REF!</v>
      </c>
      <c r="HS75" t="e">
        <f>AND(#REF!,"AAAAAD3dZ+I=")</f>
        <v>#REF!</v>
      </c>
      <c r="HT75" t="e">
        <f>AND(#REF!,"AAAAAD3dZ+M=")</f>
        <v>#REF!</v>
      </c>
      <c r="HU75" t="e">
        <f>AND(#REF!,"AAAAAD3dZ+Q=")</f>
        <v>#REF!</v>
      </c>
      <c r="HV75" t="e">
        <f>AND(#REF!,"AAAAAD3dZ+U=")</f>
        <v>#REF!</v>
      </c>
      <c r="HW75" t="e">
        <f>IF(#REF!,"AAAAAD3dZ+Y=",0)</f>
        <v>#REF!</v>
      </c>
      <c r="HX75" t="e">
        <f>AND(#REF!,"AAAAAD3dZ+c=")</f>
        <v>#REF!</v>
      </c>
      <c r="HY75" t="e">
        <f>AND(#REF!,"AAAAAD3dZ+g=")</f>
        <v>#REF!</v>
      </c>
      <c r="HZ75" t="e">
        <f>AND(#REF!,"AAAAAD3dZ+k=")</f>
        <v>#REF!</v>
      </c>
      <c r="IA75" t="e">
        <f>AND(#REF!,"AAAAAD3dZ+o=")</f>
        <v>#REF!</v>
      </c>
      <c r="IB75" t="e">
        <f>AND(#REF!,"AAAAAD3dZ+s=")</f>
        <v>#REF!</v>
      </c>
      <c r="IC75" t="e">
        <f>AND(#REF!,"AAAAAD3dZ+w=")</f>
        <v>#REF!</v>
      </c>
      <c r="ID75" t="e">
        <f>AND(#REF!,"AAAAAD3dZ+0=")</f>
        <v>#REF!</v>
      </c>
      <c r="IE75" t="e">
        <f>AND(#REF!,"AAAAAD3dZ+4=")</f>
        <v>#REF!</v>
      </c>
      <c r="IF75" t="e">
        <f>AND(#REF!,"AAAAAD3dZ+8=")</f>
        <v>#REF!</v>
      </c>
      <c r="IG75" t="e">
        <f>AND(#REF!,"AAAAAD3dZ/A=")</f>
        <v>#REF!</v>
      </c>
      <c r="IH75" t="e">
        <f>AND(#REF!,"AAAAAD3dZ/E=")</f>
        <v>#REF!</v>
      </c>
      <c r="II75" t="e">
        <f>AND(#REF!,"AAAAAD3dZ/I=")</f>
        <v>#REF!</v>
      </c>
      <c r="IJ75" t="e">
        <f>AND(#REF!,"AAAAAD3dZ/M=")</f>
        <v>#REF!</v>
      </c>
      <c r="IK75" t="e">
        <f>AND(#REF!,"AAAAAD3dZ/Q=")</f>
        <v>#REF!</v>
      </c>
      <c r="IL75" t="e">
        <f>AND(#REF!,"AAAAAD3dZ/U=")</f>
        <v>#REF!</v>
      </c>
      <c r="IM75" t="e">
        <f>AND(#REF!,"AAAAAD3dZ/Y=")</f>
        <v>#REF!</v>
      </c>
      <c r="IN75" t="e">
        <f>AND(#REF!,"AAAAAD3dZ/c=")</f>
        <v>#REF!</v>
      </c>
      <c r="IO75" t="e">
        <f>AND(#REF!,"AAAAAD3dZ/g=")</f>
        <v>#REF!</v>
      </c>
      <c r="IP75" t="e">
        <f>AND(#REF!,"AAAAAD3dZ/k=")</f>
        <v>#REF!</v>
      </c>
      <c r="IQ75" t="e">
        <f>AND(#REF!,"AAAAAD3dZ/o=")</f>
        <v>#REF!</v>
      </c>
      <c r="IR75" t="e">
        <f>AND(#REF!,"AAAAAD3dZ/s=")</f>
        <v>#REF!</v>
      </c>
      <c r="IS75" t="e">
        <f>AND(#REF!,"AAAAAD3dZ/w=")</f>
        <v>#REF!</v>
      </c>
      <c r="IT75" t="e">
        <f>AND(#REF!,"AAAAAD3dZ/0=")</f>
        <v>#REF!</v>
      </c>
      <c r="IU75" t="e">
        <f>AND(#REF!,"AAAAAD3dZ/4=")</f>
        <v>#REF!</v>
      </c>
      <c r="IV75" t="e">
        <f>AND(#REF!,"AAAAAD3dZ/8=")</f>
        <v>#REF!</v>
      </c>
    </row>
    <row r="76" spans="1:256" x14ac:dyDescent="0.25">
      <c r="A76" t="e">
        <f>AND(#REF!,"AAAAAF/9+wA=")</f>
        <v>#REF!</v>
      </c>
      <c r="B76" t="e">
        <f>AND(#REF!,"AAAAAF/9+wE=")</f>
        <v>#REF!</v>
      </c>
      <c r="C76" t="e">
        <f>AND(#REF!,"AAAAAF/9+wI=")</f>
        <v>#REF!</v>
      </c>
      <c r="D76" t="e">
        <f>AND(#REF!,"AAAAAF/9+wM=")</f>
        <v>#REF!</v>
      </c>
      <c r="E76" t="e">
        <f>AND(#REF!,"AAAAAF/9+wQ=")</f>
        <v>#REF!</v>
      </c>
      <c r="F76" t="e">
        <f>AND(#REF!,"AAAAAF/9+wU=")</f>
        <v>#REF!</v>
      </c>
      <c r="G76" t="e">
        <f>AND(#REF!,"AAAAAF/9+wY=")</f>
        <v>#REF!</v>
      </c>
      <c r="H76" t="e">
        <f>AND(#REF!,"AAAAAF/9+wc=")</f>
        <v>#REF!</v>
      </c>
      <c r="I76" t="e">
        <f>AND(#REF!,"AAAAAF/9+wg=")</f>
        <v>#REF!</v>
      </c>
      <c r="J76" t="e">
        <f>AND(#REF!,"AAAAAF/9+wk=")</f>
        <v>#REF!</v>
      </c>
      <c r="K76" t="e">
        <f>AND(#REF!,"AAAAAF/9+wo=")</f>
        <v>#REF!</v>
      </c>
      <c r="L76" t="e">
        <f>AND(#REF!,"AAAAAF/9+ws=")</f>
        <v>#REF!</v>
      </c>
      <c r="M76" t="e">
        <f>AND(#REF!,"AAAAAF/9+ww=")</f>
        <v>#REF!</v>
      </c>
      <c r="N76" t="e">
        <f>AND(#REF!,"AAAAAF/9+w0=")</f>
        <v>#REF!</v>
      </c>
      <c r="O76" t="e">
        <f>AND(#REF!,"AAAAAF/9+w4=")</f>
        <v>#REF!</v>
      </c>
      <c r="P76" t="e">
        <f>AND(#REF!,"AAAAAF/9+w8=")</f>
        <v>#REF!</v>
      </c>
      <c r="Q76" t="e">
        <f>AND(#REF!,"AAAAAF/9+xA=")</f>
        <v>#REF!</v>
      </c>
      <c r="R76" t="e">
        <f>AND(#REF!,"AAAAAF/9+xE=")</f>
        <v>#REF!</v>
      </c>
      <c r="S76" t="e">
        <f>AND(#REF!,"AAAAAF/9+xI=")</f>
        <v>#REF!</v>
      </c>
      <c r="T76" t="e">
        <f>AND(#REF!,"AAAAAF/9+xM=")</f>
        <v>#REF!</v>
      </c>
      <c r="U76" t="e">
        <f>AND(#REF!,"AAAAAF/9+xQ=")</f>
        <v>#REF!</v>
      </c>
      <c r="V76" t="e">
        <f>AND(#REF!,"AAAAAF/9+xU=")</f>
        <v>#REF!</v>
      </c>
      <c r="W76" t="e">
        <f>AND(#REF!,"AAAAAF/9+xY=")</f>
        <v>#REF!</v>
      </c>
      <c r="X76" t="e">
        <f>AND(#REF!,"AAAAAF/9+xc=")</f>
        <v>#REF!</v>
      </c>
      <c r="Y76" t="e">
        <f>AND(#REF!,"AAAAAF/9+xg=")</f>
        <v>#REF!</v>
      </c>
      <c r="Z76" t="e">
        <f>AND(#REF!,"AAAAAF/9+xk=")</f>
        <v>#REF!</v>
      </c>
      <c r="AA76" t="e">
        <f>AND(#REF!,"AAAAAF/9+xo=")</f>
        <v>#REF!</v>
      </c>
      <c r="AB76" t="e">
        <f>AND(#REF!,"AAAAAF/9+xs=")</f>
        <v>#REF!</v>
      </c>
      <c r="AC76" t="e">
        <f>AND(#REF!,"AAAAAF/9+xw=")</f>
        <v>#REF!</v>
      </c>
      <c r="AD76" t="e">
        <f>IF(#REF!,"AAAAAF/9+x0=",0)</f>
        <v>#REF!</v>
      </c>
      <c r="AE76" t="e">
        <f>AND(#REF!,"AAAAAF/9+x4=")</f>
        <v>#REF!</v>
      </c>
      <c r="AF76" t="e">
        <f>AND(#REF!,"AAAAAF/9+x8=")</f>
        <v>#REF!</v>
      </c>
      <c r="AG76" t="e">
        <f>AND(#REF!,"AAAAAF/9+yA=")</f>
        <v>#REF!</v>
      </c>
      <c r="AH76" t="e">
        <f>AND(#REF!,"AAAAAF/9+yE=")</f>
        <v>#REF!</v>
      </c>
      <c r="AI76" t="e">
        <f>AND(#REF!,"AAAAAF/9+yI=")</f>
        <v>#REF!</v>
      </c>
      <c r="AJ76" t="e">
        <f>AND(#REF!,"AAAAAF/9+yM=")</f>
        <v>#REF!</v>
      </c>
      <c r="AK76" t="e">
        <f>AND(#REF!,"AAAAAF/9+yQ=")</f>
        <v>#REF!</v>
      </c>
      <c r="AL76" t="e">
        <f>AND(#REF!,"AAAAAF/9+yU=")</f>
        <v>#REF!</v>
      </c>
      <c r="AM76" t="e">
        <f>AND(#REF!,"AAAAAF/9+yY=")</f>
        <v>#REF!</v>
      </c>
      <c r="AN76" t="e">
        <f>AND(#REF!,"AAAAAF/9+yc=")</f>
        <v>#REF!</v>
      </c>
      <c r="AO76" t="e">
        <f>AND(#REF!,"AAAAAF/9+yg=")</f>
        <v>#REF!</v>
      </c>
      <c r="AP76" t="e">
        <f>AND(#REF!,"AAAAAF/9+yk=")</f>
        <v>#REF!</v>
      </c>
      <c r="AQ76" t="e">
        <f>AND(#REF!,"AAAAAF/9+yo=")</f>
        <v>#REF!</v>
      </c>
      <c r="AR76" t="e">
        <f>AND(#REF!,"AAAAAF/9+ys=")</f>
        <v>#REF!</v>
      </c>
      <c r="AS76" t="e">
        <f>AND(#REF!,"AAAAAF/9+yw=")</f>
        <v>#REF!</v>
      </c>
      <c r="AT76" t="e">
        <f>AND(#REF!,"AAAAAF/9+y0=")</f>
        <v>#REF!</v>
      </c>
      <c r="AU76" t="e">
        <f>AND(#REF!,"AAAAAF/9+y4=")</f>
        <v>#REF!</v>
      </c>
      <c r="AV76" t="e">
        <f>AND(#REF!,"AAAAAF/9+y8=")</f>
        <v>#REF!</v>
      </c>
      <c r="AW76" t="e">
        <f>AND(#REF!,"AAAAAF/9+zA=")</f>
        <v>#REF!</v>
      </c>
      <c r="AX76" t="e">
        <f>AND(#REF!,"AAAAAF/9+zE=")</f>
        <v>#REF!</v>
      </c>
      <c r="AY76" t="e">
        <f>AND(#REF!,"AAAAAF/9+zI=")</f>
        <v>#REF!</v>
      </c>
      <c r="AZ76" t="e">
        <f>AND(#REF!,"AAAAAF/9+zM=")</f>
        <v>#REF!</v>
      </c>
      <c r="BA76" t="e">
        <f>AND(#REF!,"AAAAAF/9+zQ=")</f>
        <v>#REF!</v>
      </c>
      <c r="BB76" t="e">
        <f>AND(#REF!,"AAAAAF/9+zU=")</f>
        <v>#REF!</v>
      </c>
      <c r="BC76" t="e">
        <f>AND(#REF!,"AAAAAF/9+zY=")</f>
        <v>#REF!</v>
      </c>
      <c r="BD76" t="e">
        <f>AND(#REF!,"AAAAAF/9+zc=")</f>
        <v>#REF!</v>
      </c>
      <c r="BE76" t="e">
        <f>AND(#REF!,"AAAAAF/9+zg=")</f>
        <v>#REF!</v>
      </c>
      <c r="BF76" t="e">
        <f>AND(#REF!,"AAAAAF/9+zk=")</f>
        <v>#REF!</v>
      </c>
      <c r="BG76" t="e">
        <f>AND(#REF!,"AAAAAF/9+zo=")</f>
        <v>#REF!</v>
      </c>
      <c r="BH76" t="e">
        <f>AND(#REF!,"AAAAAF/9+zs=")</f>
        <v>#REF!</v>
      </c>
      <c r="BI76" t="e">
        <f>AND(#REF!,"AAAAAF/9+zw=")</f>
        <v>#REF!</v>
      </c>
      <c r="BJ76" t="e">
        <f>AND(#REF!,"AAAAAF/9+z0=")</f>
        <v>#REF!</v>
      </c>
      <c r="BK76" t="e">
        <f>AND(#REF!,"AAAAAF/9+z4=")</f>
        <v>#REF!</v>
      </c>
      <c r="BL76" t="e">
        <f>AND(#REF!,"AAAAAF/9+z8=")</f>
        <v>#REF!</v>
      </c>
      <c r="BM76" t="e">
        <f>AND(#REF!,"AAAAAF/9+0A=")</f>
        <v>#REF!</v>
      </c>
      <c r="BN76" t="e">
        <f>AND(#REF!,"AAAAAF/9+0E=")</f>
        <v>#REF!</v>
      </c>
      <c r="BO76" t="e">
        <f>AND(#REF!,"AAAAAF/9+0I=")</f>
        <v>#REF!</v>
      </c>
      <c r="BP76" t="e">
        <f>AND(#REF!,"AAAAAF/9+0M=")</f>
        <v>#REF!</v>
      </c>
      <c r="BQ76" t="e">
        <f>AND(#REF!,"AAAAAF/9+0Q=")</f>
        <v>#REF!</v>
      </c>
      <c r="BR76" t="e">
        <f>AND(#REF!,"AAAAAF/9+0U=")</f>
        <v>#REF!</v>
      </c>
      <c r="BS76" t="e">
        <f>AND(#REF!,"AAAAAF/9+0Y=")</f>
        <v>#REF!</v>
      </c>
      <c r="BT76" t="e">
        <f>AND(#REF!,"AAAAAF/9+0c=")</f>
        <v>#REF!</v>
      </c>
      <c r="BU76" t="e">
        <f>AND(#REF!,"AAAAAF/9+0g=")</f>
        <v>#REF!</v>
      </c>
      <c r="BV76" t="e">
        <f>AND(#REF!,"AAAAAF/9+0k=")</f>
        <v>#REF!</v>
      </c>
      <c r="BW76" t="e">
        <f>AND(#REF!,"AAAAAF/9+0o=")</f>
        <v>#REF!</v>
      </c>
      <c r="BX76" t="e">
        <f>AND(#REF!,"AAAAAF/9+0s=")</f>
        <v>#REF!</v>
      </c>
      <c r="BY76" t="e">
        <f>AND(#REF!,"AAAAAF/9+0w=")</f>
        <v>#REF!</v>
      </c>
      <c r="BZ76" t="e">
        <f>AND(#REF!,"AAAAAF/9+00=")</f>
        <v>#REF!</v>
      </c>
      <c r="CA76" t="e">
        <f>AND(#REF!,"AAAAAF/9+04=")</f>
        <v>#REF!</v>
      </c>
      <c r="CB76" t="e">
        <f>AND(#REF!,"AAAAAF/9+08=")</f>
        <v>#REF!</v>
      </c>
      <c r="CC76" t="e">
        <f>AND(#REF!,"AAAAAF/9+1A=")</f>
        <v>#REF!</v>
      </c>
      <c r="CD76" t="e">
        <f>AND(#REF!,"AAAAAF/9+1E=")</f>
        <v>#REF!</v>
      </c>
      <c r="CE76" t="e">
        <f>AND(#REF!,"AAAAAF/9+1I=")</f>
        <v>#REF!</v>
      </c>
      <c r="CF76" t="e">
        <f>AND(#REF!,"AAAAAF/9+1M=")</f>
        <v>#REF!</v>
      </c>
      <c r="CG76" t="e">
        <f>IF(#REF!,"AAAAAF/9+1Q=",0)</f>
        <v>#REF!</v>
      </c>
      <c r="CH76" t="e">
        <f>AND(#REF!,"AAAAAF/9+1U=")</f>
        <v>#REF!</v>
      </c>
      <c r="CI76" t="e">
        <f>AND(#REF!,"AAAAAF/9+1Y=")</f>
        <v>#REF!</v>
      </c>
      <c r="CJ76" t="e">
        <f>AND(#REF!,"AAAAAF/9+1c=")</f>
        <v>#REF!</v>
      </c>
      <c r="CK76" t="e">
        <f>AND(#REF!,"AAAAAF/9+1g=")</f>
        <v>#REF!</v>
      </c>
      <c r="CL76" t="e">
        <f>AND(#REF!,"AAAAAF/9+1k=")</f>
        <v>#REF!</v>
      </c>
      <c r="CM76" t="e">
        <f>AND(#REF!,"AAAAAF/9+1o=")</f>
        <v>#REF!</v>
      </c>
      <c r="CN76" t="e">
        <f>AND(#REF!,"AAAAAF/9+1s=")</f>
        <v>#REF!</v>
      </c>
      <c r="CO76" t="e">
        <f>AND(#REF!,"AAAAAF/9+1w=")</f>
        <v>#REF!</v>
      </c>
      <c r="CP76" t="e">
        <f>AND(#REF!,"AAAAAF/9+10=")</f>
        <v>#REF!</v>
      </c>
      <c r="CQ76" t="e">
        <f>AND(#REF!,"AAAAAF/9+14=")</f>
        <v>#REF!</v>
      </c>
      <c r="CR76" t="e">
        <f>AND(#REF!,"AAAAAF/9+18=")</f>
        <v>#REF!</v>
      </c>
      <c r="CS76" t="e">
        <f>AND(#REF!,"AAAAAF/9+2A=")</f>
        <v>#REF!</v>
      </c>
      <c r="CT76" t="e">
        <f>AND(#REF!,"AAAAAF/9+2E=")</f>
        <v>#REF!</v>
      </c>
      <c r="CU76" t="e">
        <f>AND(#REF!,"AAAAAF/9+2I=")</f>
        <v>#REF!</v>
      </c>
      <c r="CV76" t="e">
        <f>AND(#REF!,"AAAAAF/9+2M=")</f>
        <v>#REF!</v>
      </c>
      <c r="CW76" t="e">
        <f>AND(#REF!,"AAAAAF/9+2Q=")</f>
        <v>#REF!</v>
      </c>
      <c r="CX76" t="e">
        <f>AND(#REF!,"AAAAAF/9+2U=")</f>
        <v>#REF!</v>
      </c>
      <c r="CY76" t="e">
        <f>AND(#REF!,"AAAAAF/9+2Y=")</f>
        <v>#REF!</v>
      </c>
      <c r="CZ76" t="e">
        <f>AND(#REF!,"AAAAAF/9+2c=")</f>
        <v>#REF!</v>
      </c>
      <c r="DA76" t="e">
        <f>AND(#REF!,"AAAAAF/9+2g=")</f>
        <v>#REF!</v>
      </c>
      <c r="DB76" t="e">
        <f>AND(#REF!,"AAAAAF/9+2k=")</f>
        <v>#REF!</v>
      </c>
      <c r="DC76" t="e">
        <f>AND(#REF!,"AAAAAF/9+2o=")</f>
        <v>#REF!</v>
      </c>
      <c r="DD76" t="e">
        <f>AND(#REF!,"AAAAAF/9+2s=")</f>
        <v>#REF!</v>
      </c>
      <c r="DE76" t="e">
        <f>AND(#REF!,"AAAAAF/9+2w=")</f>
        <v>#REF!</v>
      </c>
      <c r="DF76" t="e">
        <f>AND(#REF!,"AAAAAF/9+20=")</f>
        <v>#REF!</v>
      </c>
      <c r="DG76" t="e">
        <f>AND(#REF!,"AAAAAF/9+24=")</f>
        <v>#REF!</v>
      </c>
      <c r="DH76" t="e">
        <f>AND(#REF!,"AAAAAF/9+28=")</f>
        <v>#REF!</v>
      </c>
      <c r="DI76" t="e">
        <f>AND(#REF!,"AAAAAF/9+3A=")</f>
        <v>#REF!</v>
      </c>
      <c r="DJ76" t="e">
        <f>AND(#REF!,"AAAAAF/9+3E=")</f>
        <v>#REF!</v>
      </c>
      <c r="DK76" t="e">
        <f>AND(#REF!,"AAAAAF/9+3I=")</f>
        <v>#REF!</v>
      </c>
      <c r="DL76" t="e">
        <f>AND(#REF!,"AAAAAF/9+3M=")</f>
        <v>#REF!</v>
      </c>
      <c r="DM76" t="e">
        <f>AND(#REF!,"AAAAAF/9+3Q=")</f>
        <v>#REF!</v>
      </c>
      <c r="DN76" t="e">
        <f>AND(#REF!,"AAAAAF/9+3U=")</f>
        <v>#REF!</v>
      </c>
      <c r="DO76" t="e">
        <f>AND(#REF!,"AAAAAF/9+3Y=")</f>
        <v>#REF!</v>
      </c>
      <c r="DP76" t="e">
        <f>AND(#REF!,"AAAAAF/9+3c=")</f>
        <v>#REF!</v>
      </c>
      <c r="DQ76" t="e">
        <f>AND(#REF!,"AAAAAF/9+3g=")</f>
        <v>#REF!</v>
      </c>
      <c r="DR76" t="e">
        <f>AND(#REF!,"AAAAAF/9+3k=")</f>
        <v>#REF!</v>
      </c>
      <c r="DS76" t="e">
        <f>AND(#REF!,"AAAAAF/9+3o=")</f>
        <v>#REF!</v>
      </c>
      <c r="DT76" t="e">
        <f>AND(#REF!,"AAAAAF/9+3s=")</f>
        <v>#REF!</v>
      </c>
      <c r="DU76" t="e">
        <f>AND(#REF!,"AAAAAF/9+3w=")</f>
        <v>#REF!</v>
      </c>
      <c r="DV76" t="e">
        <f>AND(#REF!,"AAAAAF/9+30=")</f>
        <v>#REF!</v>
      </c>
      <c r="DW76" t="e">
        <f>AND(#REF!,"AAAAAF/9+34=")</f>
        <v>#REF!</v>
      </c>
      <c r="DX76" t="e">
        <f>AND(#REF!,"AAAAAF/9+38=")</f>
        <v>#REF!</v>
      </c>
      <c r="DY76" t="e">
        <f>AND(#REF!,"AAAAAF/9+4A=")</f>
        <v>#REF!</v>
      </c>
      <c r="DZ76" t="e">
        <f>AND(#REF!,"AAAAAF/9+4E=")</f>
        <v>#REF!</v>
      </c>
      <c r="EA76" t="e">
        <f>AND(#REF!,"AAAAAF/9+4I=")</f>
        <v>#REF!</v>
      </c>
      <c r="EB76" t="e">
        <f>AND(#REF!,"AAAAAF/9+4M=")</f>
        <v>#REF!</v>
      </c>
      <c r="EC76" t="e">
        <f>AND(#REF!,"AAAAAF/9+4Q=")</f>
        <v>#REF!</v>
      </c>
      <c r="ED76" t="e">
        <f>AND(#REF!,"AAAAAF/9+4U=")</f>
        <v>#REF!</v>
      </c>
      <c r="EE76" t="e">
        <f>AND(#REF!,"AAAAAF/9+4Y=")</f>
        <v>#REF!</v>
      </c>
      <c r="EF76" t="e">
        <f>AND(#REF!,"AAAAAF/9+4c=")</f>
        <v>#REF!</v>
      </c>
      <c r="EG76" t="e">
        <f>AND(#REF!,"AAAAAF/9+4g=")</f>
        <v>#REF!</v>
      </c>
      <c r="EH76" t="e">
        <f>AND(#REF!,"AAAAAF/9+4k=")</f>
        <v>#REF!</v>
      </c>
      <c r="EI76" t="e">
        <f>AND(#REF!,"AAAAAF/9+4o=")</f>
        <v>#REF!</v>
      </c>
      <c r="EJ76" t="e">
        <f>IF(#REF!,"AAAAAF/9+4s=",0)</f>
        <v>#REF!</v>
      </c>
      <c r="EK76" t="e">
        <f>AND(#REF!,"AAAAAF/9+4w=")</f>
        <v>#REF!</v>
      </c>
      <c r="EL76" t="e">
        <f>AND(#REF!,"AAAAAF/9+40=")</f>
        <v>#REF!</v>
      </c>
      <c r="EM76" t="e">
        <f>AND(#REF!,"AAAAAF/9+44=")</f>
        <v>#REF!</v>
      </c>
      <c r="EN76" t="e">
        <f>AND(#REF!,"AAAAAF/9+48=")</f>
        <v>#REF!</v>
      </c>
      <c r="EO76" t="e">
        <f>AND(#REF!,"AAAAAF/9+5A=")</f>
        <v>#REF!</v>
      </c>
      <c r="EP76" t="e">
        <f>AND(#REF!,"AAAAAF/9+5E=")</f>
        <v>#REF!</v>
      </c>
      <c r="EQ76" t="e">
        <f>AND(#REF!,"AAAAAF/9+5I=")</f>
        <v>#REF!</v>
      </c>
      <c r="ER76" t="e">
        <f>AND(#REF!,"AAAAAF/9+5M=")</f>
        <v>#REF!</v>
      </c>
      <c r="ES76" t="e">
        <f>AND(#REF!,"AAAAAF/9+5Q=")</f>
        <v>#REF!</v>
      </c>
      <c r="ET76" t="e">
        <f>AND(#REF!,"AAAAAF/9+5U=")</f>
        <v>#REF!</v>
      </c>
      <c r="EU76" t="e">
        <f>AND(#REF!,"AAAAAF/9+5Y=")</f>
        <v>#REF!</v>
      </c>
      <c r="EV76" t="e">
        <f>AND(#REF!,"AAAAAF/9+5c=")</f>
        <v>#REF!</v>
      </c>
      <c r="EW76" t="e">
        <f>AND(#REF!,"AAAAAF/9+5g=")</f>
        <v>#REF!</v>
      </c>
      <c r="EX76" t="e">
        <f>AND(#REF!,"AAAAAF/9+5k=")</f>
        <v>#REF!</v>
      </c>
      <c r="EY76" t="e">
        <f>AND(#REF!,"AAAAAF/9+5o=")</f>
        <v>#REF!</v>
      </c>
      <c r="EZ76" t="e">
        <f>AND(#REF!,"AAAAAF/9+5s=")</f>
        <v>#REF!</v>
      </c>
      <c r="FA76" t="e">
        <f>AND(#REF!,"AAAAAF/9+5w=")</f>
        <v>#REF!</v>
      </c>
      <c r="FB76" t="e">
        <f>AND(#REF!,"AAAAAF/9+50=")</f>
        <v>#REF!</v>
      </c>
      <c r="FC76" t="e">
        <f>AND(#REF!,"AAAAAF/9+54=")</f>
        <v>#REF!</v>
      </c>
      <c r="FD76" t="e">
        <f>AND(#REF!,"AAAAAF/9+58=")</f>
        <v>#REF!</v>
      </c>
      <c r="FE76" t="e">
        <f>AND(#REF!,"AAAAAF/9+6A=")</f>
        <v>#REF!</v>
      </c>
      <c r="FF76" t="e">
        <f>AND(#REF!,"AAAAAF/9+6E=")</f>
        <v>#REF!</v>
      </c>
      <c r="FG76" t="e">
        <f>AND(#REF!,"AAAAAF/9+6I=")</f>
        <v>#REF!</v>
      </c>
      <c r="FH76" t="e">
        <f>AND(#REF!,"AAAAAF/9+6M=")</f>
        <v>#REF!</v>
      </c>
      <c r="FI76" t="e">
        <f>AND(#REF!,"AAAAAF/9+6Q=")</f>
        <v>#REF!</v>
      </c>
      <c r="FJ76" t="e">
        <f>AND(#REF!,"AAAAAF/9+6U=")</f>
        <v>#REF!</v>
      </c>
      <c r="FK76" t="e">
        <f>AND(#REF!,"AAAAAF/9+6Y=")</f>
        <v>#REF!</v>
      </c>
      <c r="FL76" t="e">
        <f>AND(#REF!,"AAAAAF/9+6c=")</f>
        <v>#REF!</v>
      </c>
      <c r="FM76" t="e">
        <f>AND(#REF!,"AAAAAF/9+6g=")</f>
        <v>#REF!</v>
      </c>
      <c r="FN76" t="e">
        <f>AND(#REF!,"AAAAAF/9+6k=")</f>
        <v>#REF!</v>
      </c>
      <c r="FO76" t="e">
        <f>AND(#REF!,"AAAAAF/9+6o=")</f>
        <v>#REF!</v>
      </c>
      <c r="FP76" t="e">
        <f>AND(#REF!,"AAAAAF/9+6s=")</f>
        <v>#REF!</v>
      </c>
      <c r="FQ76" t="e">
        <f>AND(#REF!,"AAAAAF/9+6w=")</f>
        <v>#REF!</v>
      </c>
      <c r="FR76" t="e">
        <f>AND(#REF!,"AAAAAF/9+60=")</f>
        <v>#REF!</v>
      </c>
      <c r="FS76" t="e">
        <f>AND(#REF!,"AAAAAF/9+64=")</f>
        <v>#REF!</v>
      </c>
      <c r="FT76" t="e">
        <f>AND(#REF!,"AAAAAF/9+68=")</f>
        <v>#REF!</v>
      </c>
      <c r="FU76" t="e">
        <f>AND(#REF!,"AAAAAF/9+7A=")</f>
        <v>#REF!</v>
      </c>
      <c r="FV76" t="e">
        <f>AND(#REF!,"AAAAAF/9+7E=")</f>
        <v>#REF!</v>
      </c>
      <c r="FW76" t="e">
        <f>AND(#REF!,"AAAAAF/9+7I=")</f>
        <v>#REF!</v>
      </c>
      <c r="FX76" t="e">
        <f>AND(#REF!,"AAAAAF/9+7M=")</f>
        <v>#REF!</v>
      </c>
      <c r="FY76" t="e">
        <f>AND(#REF!,"AAAAAF/9+7Q=")</f>
        <v>#REF!</v>
      </c>
      <c r="FZ76" t="e">
        <f>AND(#REF!,"AAAAAF/9+7U=")</f>
        <v>#REF!</v>
      </c>
      <c r="GA76" t="e">
        <f>AND(#REF!,"AAAAAF/9+7Y=")</f>
        <v>#REF!</v>
      </c>
      <c r="GB76" t="e">
        <f>AND(#REF!,"AAAAAF/9+7c=")</f>
        <v>#REF!</v>
      </c>
      <c r="GC76" t="e">
        <f>AND(#REF!,"AAAAAF/9+7g=")</f>
        <v>#REF!</v>
      </c>
      <c r="GD76" t="e">
        <f>AND(#REF!,"AAAAAF/9+7k=")</f>
        <v>#REF!</v>
      </c>
      <c r="GE76" t="e">
        <f>AND(#REF!,"AAAAAF/9+7o=")</f>
        <v>#REF!</v>
      </c>
      <c r="GF76" t="e">
        <f>AND(#REF!,"AAAAAF/9+7s=")</f>
        <v>#REF!</v>
      </c>
      <c r="GG76" t="e">
        <f>AND(#REF!,"AAAAAF/9+7w=")</f>
        <v>#REF!</v>
      </c>
      <c r="GH76" t="e">
        <f>AND(#REF!,"AAAAAF/9+70=")</f>
        <v>#REF!</v>
      </c>
      <c r="GI76" t="e">
        <f>AND(#REF!,"AAAAAF/9+74=")</f>
        <v>#REF!</v>
      </c>
      <c r="GJ76" t="e">
        <f>AND(#REF!,"AAAAAF/9+78=")</f>
        <v>#REF!</v>
      </c>
      <c r="GK76" t="e">
        <f>AND(#REF!,"AAAAAF/9+8A=")</f>
        <v>#REF!</v>
      </c>
      <c r="GL76" t="e">
        <f>AND(#REF!,"AAAAAF/9+8E=")</f>
        <v>#REF!</v>
      </c>
      <c r="GM76" t="e">
        <f>IF(#REF!,"AAAAAF/9+8I=",0)</f>
        <v>#REF!</v>
      </c>
      <c r="GN76" t="e">
        <f>AND(#REF!,"AAAAAF/9+8M=")</f>
        <v>#REF!</v>
      </c>
      <c r="GO76" t="e">
        <f>AND(#REF!,"AAAAAF/9+8Q=")</f>
        <v>#REF!</v>
      </c>
      <c r="GP76" t="e">
        <f>AND(#REF!,"AAAAAF/9+8U=")</f>
        <v>#REF!</v>
      </c>
      <c r="GQ76" t="e">
        <f>AND(#REF!,"AAAAAF/9+8Y=")</f>
        <v>#REF!</v>
      </c>
      <c r="GR76" t="e">
        <f>AND(#REF!,"AAAAAF/9+8c=")</f>
        <v>#REF!</v>
      </c>
      <c r="GS76" t="e">
        <f>AND(#REF!,"AAAAAF/9+8g=")</f>
        <v>#REF!</v>
      </c>
      <c r="GT76" t="e">
        <f>AND(#REF!,"AAAAAF/9+8k=")</f>
        <v>#REF!</v>
      </c>
      <c r="GU76" t="e">
        <f>AND(#REF!,"AAAAAF/9+8o=")</f>
        <v>#REF!</v>
      </c>
      <c r="GV76" t="e">
        <f>AND(#REF!,"AAAAAF/9+8s=")</f>
        <v>#REF!</v>
      </c>
      <c r="GW76" t="e">
        <f>AND(#REF!,"AAAAAF/9+8w=")</f>
        <v>#REF!</v>
      </c>
      <c r="GX76" t="e">
        <f>AND(#REF!,"AAAAAF/9+80=")</f>
        <v>#REF!</v>
      </c>
      <c r="GY76" t="e">
        <f>AND(#REF!,"AAAAAF/9+84=")</f>
        <v>#REF!</v>
      </c>
      <c r="GZ76" t="e">
        <f>AND(#REF!,"AAAAAF/9+88=")</f>
        <v>#REF!</v>
      </c>
      <c r="HA76" t="e">
        <f>AND(#REF!,"AAAAAF/9+9A=")</f>
        <v>#REF!</v>
      </c>
      <c r="HB76" t="e">
        <f>AND(#REF!,"AAAAAF/9+9E=")</f>
        <v>#REF!</v>
      </c>
      <c r="HC76" t="e">
        <f>AND(#REF!,"AAAAAF/9+9I=")</f>
        <v>#REF!</v>
      </c>
      <c r="HD76" t="e">
        <f>AND(#REF!,"AAAAAF/9+9M=")</f>
        <v>#REF!</v>
      </c>
      <c r="HE76" t="e">
        <f>AND(#REF!,"AAAAAF/9+9Q=")</f>
        <v>#REF!</v>
      </c>
      <c r="HF76" t="e">
        <f>AND(#REF!,"AAAAAF/9+9U=")</f>
        <v>#REF!</v>
      </c>
      <c r="HG76" t="e">
        <f>AND(#REF!,"AAAAAF/9+9Y=")</f>
        <v>#REF!</v>
      </c>
      <c r="HH76" t="e">
        <f>AND(#REF!,"AAAAAF/9+9c=")</f>
        <v>#REF!</v>
      </c>
      <c r="HI76" t="e">
        <f>AND(#REF!,"AAAAAF/9+9g=")</f>
        <v>#REF!</v>
      </c>
      <c r="HJ76" t="e">
        <f>AND(#REF!,"AAAAAF/9+9k=")</f>
        <v>#REF!</v>
      </c>
      <c r="HK76" t="e">
        <f>AND(#REF!,"AAAAAF/9+9o=")</f>
        <v>#REF!</v>
      </c>
      <c r="HL76" t="e">
        <f>AND(#REF!,"AAAAAF/9+9s=")</f>
        <v>#REF!</v>
      </c>
      <c r="HM76" t="e">
        <f>AND(#REF!,"AAAAAF/9+9w=")</f>
        <v>#REF!</v>
      </c>
      <c r="HN76" t="e">
        <f>AND(#REF!,"AAAAAF/9+90=")</f>
        <v>#REF!</v>
      </c>
      <c r="HO76" t="e">
        <f>AND(#REF!,"AAAAAF/9+94=")</f>
        <v>#REF!</v>
      </c>
      <c r="HP76" t="e">
        <f>AND(#REF!,"AAAAAF/9+98=")</f>
        <v>#REF!</v>
      </c>
      <c r="HQ76" t="e">
        <f>AND(#REF!,"AAAAAF/9++A=")</f>
        <v>#REF!</v>
      </c>
      <c r="HR76" t="e">
        <f>AND(#REF!,"AAAAAF/9++E=")</f>
        <v>#REF!</v>
      </c>
      <c r="HS76" t="e">
        <f>AND(#REF!,"AAAAAF/9++I=")</f>
        <v>#REF!</v>
      </c>
      <c r="HT76" t="e">
        <f>AND(#REF!,"AAAAAF/9++M=")</f>
        <v>#REF!</v>
      </c>
      <c r="HU76" t="e">
        <f>AND(#REF!,"AAAAAF/9++Q=")</f>
        <v>#REF!</v>
      </c>
      <c r="HV76" t="e">
        <f>AND(#REF!,"AAAAAF/9++U=")</f>
        <v>#REF!</v>
      </c>
      <c r="HW76" t="e">
        <f>AND(#REF!,"AAAAAF/9++Y=")</f>
        <v>#REF!</v>
      </c>
      <c r="HX76" t="e">
        <f>AND(#REF!,"AAAAAF/9++c=")</f>
        <v>#REF!</v>
      </c>
      <c r="HY76" t="e">
        <f>AND(#REF!,"AAAAAF/9++g=")</f>
        <v>#REF!</v>
      </c>
      <c r="HZ76" t="e">
        <f>AND(#REF!,"AAAAAF/9++k=")</f>
        <v>#REF!</v>
      </c>
      <c r="IA76" t="e">
        <f>AND(#REF!,"AAAAAF/9++o=")</f>
        <v>#REF!</v>
      </c>
      <c r="IB76" t="e">
        <f>AND(#REF!,"AAAAAF/9++s=")</f>
        <v>#REF!</v>
      </c>
      <c r="IC76" t="e">
        <f>AND(#REF!,"AAAAAF/9++w=")</f>
        <v>#REF!</v>
      </c>
      <c r="ID76" t="e">
        <f>AND(#REF!,"AAAAAF/9++0=")</f>
        <v>#REF!</v>
      </c>
      <c r="IE76" t="e">
        <f>AND(#REF!,"AAAAAF/9++4=")</f>
        <v>#REF!</v>
      </c>
      <c r="IF76" t="e">
        <f>AND(#REF!,"AAAAAF/9++8=")</f>
        <v>#REF!</v>
      </c>
      <c r="IG76" t="e">
        <f>AND(#REF!,"AAAAAF/9+/A=")</f>
        <v>#REF!</v>
      </c>
      <c r="IH76" t="e">
        <f>AND(#REF!,"AAAAAF/9+/E=")</f>
        <v>#REF!</v>
      </c>
      <c r="II76" t="e">
        <f>AND(#REF!,"AAAAAF/9+/I=")</f>
        <v>#REF!</v>
      </c>
      <c r="IJ76" t="e">
        <f>AND(#REF!,"AAAAAF/9+/M=")</f>
        <v>#REF!</v>
      </c>
      <c r="IK76" t="e">
        <f>AND(#REF!,"AAAAAF/9+/Q=")</f>
        <v>#REF!</v>
      </c>
      <c r="IL76" t="e">
        <f>AND(#REF!,"AAAAAF/9+/U=")</f>
        <v>#REF!</v>
      </c>
      <c r="IM76" t="e">
        <f>AND(#REF!,"AAAAAF/9+/Y=")</f>
        <v>#REF!</v>
      </c>
      <c r="IN76" t="e">
        <f>AND(#REF!,"AAAAAF/9+/c=")</f>
        <v>#REF!</v>
      </c>
      <c r="IO76" t="e">
        <f>AND(#REF!,"AAAAAF/9+/g=")</f>
        <v>#REF!</v>
      </c>
      <c r="IP76" t="e">
        <f>IF(#REF!,"AAAAAF/9+/k=",0)</f>
        <v>#REF!</v>
      </c>
      <c r="IQ76" t="e">
        <f>AND(#REF!,"AAAAAF/9+/o=")</f>
        <v>#REF!</v>
      </c>
      <c r="IR76" t="e">
        <f>AND(#REF!,"AAAAAF/9+/s=")</f>
        <v>#REF!</v>
      </c>
      <c r="IS76" t="e">
        <f>AND(#REF!,"AAAAAF/9+/w=")</f>
        <v>#REF!</v>
      </c>
      <c r="IT76" t="e">
        <f>AND(#REF!,"AAAAAF/9+/0=")</f>
        <v>#REF!</v>
      </c>
      <c r="IU76" t="e">
        <f>AND(#REF!,"AAAAAF/9+/4=")</f>
        <v>#REF!</v>
      </c>
      <c r="IV76" t="e">
        <f>AND(#REF!,"AAAAAF/9+/8=")</f>
        <v>#REF!</v>
      </c>
    </row>
    <row r="77" spans="1:256" x14ac:dyDescent="0.25">
      <c r="A77" t="e">
        <f>AND(#REF!,"AAAAAH773wA=")</f>
        <v>#REF!</v>
      </c>
      <c r="B77" t="e">
        <f>AND(#REF!,"AAAAAH773wE=")</f>
        <v>#REF!</v>
      </c>
      <c r="C77" t="e">
        <f>AND(#REF!,"AAAAAH773wI=")</f>
        <v>#REF!</v>
      </c>
      <c r="D77" t="e">
        <f>AND(#REF!,"AAAAAH773wM=")</f>
        <v>#REF!</v>
      </c>
      <c r="E77" t="e">
        <f>AND(#REF!,"AAAAAH773wQ=")</f>
        <v>#REF!</v>
      </c>
      <c r="F77" t="e">
        <f>AND(#REF!,"AAAAAH773wU=")</f>
        <v>#REF!</v>
      </c>
      <c r="G77" t="e">
        <f>AND(#REF!,"AAAAAH773wY=")</f>
        <v>#REF!</v>
      </c>
      <c r="H77" t="e">
        <f>AND(#REF!,"AAAAAH773wc=")</f>
        <v>#REF!</v>
      </c>
      <c r="I77" t="e">
        <f>AND(#REF!,"AAAAAH773wg=")</f>
        <v>#REF!</v>
      </c>
      <c r="J77" t="e">
        <f>AND(#REF!,"AAAAAH773wk=")</f>
        <v>#REF!</v>
      </c>
      <c r="K77" t="e">
        <f>AND(#REF!,"AAAAAH773wo=")</f>
        <v>#REF!</v>
      </c>
      <c r="L77" t="e">
        <f>AND(#REF!,"AAAAAH773ws=")</f>
        <v>#REF!</v>
      </c>
      <c r="M77" t="e">
        <f>AND(#REF!,"AAAAAH773ww=")</f>
        <v>#REF!</v>
      </c>
      <c r="N77" t="e">
        <f>AND(#REF!,"AAAAAH773w0=")</f>
        <v>#REF!</v>
      </c>
      <c r="O77" t="e">
        <f>AND(#REF!,"AAAAAH773w4=")</f>
        <v>#REF!</v>
      </c>
      <c r="P77" t="e">
        <f>AND(#REF!,"AAAAAH773w8=")</f>
        <v>#REF!</v>
      </c>
      <c r="Q77" t="e">
        <f>AND(#REF!,"AAAAAH773xA=")</f>
        <v>#REF!</v>
      </c>
      <c r="R77" t="e">
        <f>AND(#REF!,"AAAAAH773xE=")</f>
        <v>#REF!</v>
      </c>
      <c r="S77" t="e">
        <f>AND(#REF!,"AAAAAH773xI=")</f>
        <v>#REF!</v>
      </c>
      <c r="T77" t="e">
        <f>AND(#REF!,"AAAAAH773xM=")</f>
        <v>#REF!</v>
      </c>
      <c r="U77" t="e">
        <f>AND(#REF!,"AAAAAH773xQ=")</f>
        <v>#REF!</v>
      </c>
      <c r="V77" t="e">
        <f>AND(#REF!,"AAAAAH773xU=")</f>
        <v>#REF!</v>
      </c>
      <c r="W77" t="e">
        <f>AND(#REF!,"AAAAAH773xY=")</f>
        <v>#REF!</v>
      </c>
      <c r="X77" t="e">
        <f>AND(#REF!,"AAAAAH773xc=")</f>
        <v>#REF!</v>
      </c>
      <c r="Y77" t="e">
        <f>AND(#REF!,"AAAAAH773xg=")</f>
        <v>#REF!</v>
      </c>
      <c r="Z77" t="e">
        <f>AND(#REF!,"AAAAAH773xk=")</f>
        <v>#REF!</v>
      </c>
      <c r="AA77" t="e">
        <f>AND(#REF!,"AAAAAH773xo=")</f>
        <v>#REF!</v>
      </c>
      <c r="AB77" t="e">
        <f>AND(#REF!,"AAAAAH773xs=")</f>
        <v>#REF!</v>
      </c>
      <c r="AC77" t="e">
        <f>AND(#REF!,"AAAAAH773xw=")</f>
        <v>#REF!</v>
      </c>
      <c r="AD77" t="e">
        <f>AND(#REF!,"AAAAAH773x0=")</f>
        <v>#REF!</v>
      </c>
      <c r="AE77" t="e">
        <f>AND(#REF!,"AAAAAH773x4=")</f>
        <v>#REF!</v>
      </c>
      <c r="AF77" t="e">
        <f>AND(#REF!,"AAAAAH773x8=")</f>
        <v>#REF!</v>
      </c>
      <c r="AG77" t="e">
        <f>AND(#REF!,"AAAAAH773yA=")</f>
        <v>#REF!</v>
      </c>
      <c r="AH77" t="e">
        <f>AND(#REF!,"AAAAAH773yE=")</f>
        <v>#REF!</v>
      </c>
      <c r="AI77" t="e">
        <f>AND(#REF!,"AAAAAH773yI=")</f>
        <v>#REF!</v>
      </c>
      <c r="AJ77" t="e">
        <f>AND(#REF!,"AAAAAH773yM=")</f>
        <v>#REF!</v>
      </c>
      <c r="AK77" t="e">
        <f>AND(#REF!,"AAAAAH773yQ=")</f>
        <v>#REF!</v>
      </c>
      <c r="AL77" t="e">
        <f>AND(#REF!,"AAAAAH773yU=")</f>
        <v>#REF!</v>
      </c>
      <c r="AM77" t="e">
        <f>AND(#REF!,"AAAAAH773yY=")</f>
        <v>#REF!</v>
      </c>
      <c r="AN77" t="e">
        <f>AND(#REF!,"AAAAAH773yc=")</f>
        <v>#REF!</v>
      </c>
      <c r="AO77" t="e">
        <f>AND(#REF!,"AAAAAH773yg=")</f>
        <v>#REF!</v>
      </c>
      <c r="AP77" t="e">
        <f>AND(#REF!,"AAAAAH773yk=")</f>
        <v>#REF!</v>
      </c>
      <c r="AQ77" t="e">
        <f>AND(#REF!,"AAAAAH773yo=")</f>
        <v>#REF!</v>
      </c>
      <c r="AR77" t="e">
        <f>AND(#REF!,"AAAAAH773ys=")</f>
        <v>#REF!</v>
      </c>
      <c r="AS77" t="e">
        <f>AND(#REF!,"AAAAAH773yw=")</f>
        <v>#REF!</v>
      </c>
      <c r="AT77" t="e">
        <f>AND(#REF!,"AAAAAH773y0=")</f>
        <v>#REF!</v>
      </c>
      <c r="AU77" t="e">
        <f>AND(#REF!,"AAAAAH773y4=")</f>
        <v>#REF!</v>
      </c>
      <c r="AV77" t="e">
        <f>AND(#REF!,"AAAAAH773y8=")</f>
        <v>#REF!</v>
      </c>
      <c r="AW77" t="e">
        <f>IF(#REF!,"AAAAAH773zA=",0)</f>
        <v>#REF!</v>
      </c>
      <c r="AX77" t="e">
        <f>AND(#REF!,"AAAAAH773zE=")</f>
        <v>#REF!</v>
      </c>
      <c r="AY77" t="e">
        <f>AND(#REF!,"AAAAAH773zI=")</f>
        <v>#REF!</v>
      </c>
      <c r="AZ77" t="e">
        <f>AND(#REF!,"AAAAAH773zM=")</f>
        <v>#REF!</v>
      </c>
      <c r="BA77" t="e">
        <f>AND(#REF!,"AAAAAH773zQ=")</f>
        <v>#REF!</v>
      </c>
      <c r="BB77" t="e">
        <f>AND(#REF!,"AAAAAH773zU=")</f>
        <v>#REF!</v>
      </c>
      <c r="BC77" t="e">
        <f>AND(#REF!,"AAAAAH773zY=")</f>
        <v>#REF!</v>
      </c>
      <c r="BD77" t="e">
        <f>AND(#REF!,"AAAAAH773zc=")</f>
        <v>#REF!</v>
      </c>
      <c r="BE77" t="e">
        <f>AND(#REF!,"AAAAAH773zg=")</f>
        <v>#REF!</v>
      </c>
      <c r="BF77" t="e">
        <f>AND(#REF!,"AAAAAH773zk=")</f>
        <v>#REF!</v>
      </c>
      <c r="BG77" t="e">
        <f>AND(#REF!,"AAAAAH773zo=")</f>
        <v>#REF!</v>
      </c>
      <c r="BH77" t="e">
        <f>AND(#REF!,"AAAAAH773zs=")</f>
        <v>#REF!</v>
      </c>
      <c r="BI77" t="e">
        <f>AND(#REF!,"AAAAAH773zw=")</f>
        <v>#REF!</v>
      </c>
      <c r="BJ77" t="e">
        <f>AND(#REF!,"AAAAAH773z0=")</f>
        <v>#REF!</v>
      </c>
      <c r="BK77" t="e">
        <f>AND(#REF!,"AAAAAH773z4=")</f>
        <v>#REF!</v>
      </c>
      <c r="BL77" t="e">
        <f>AND(#REF!,"AAAAAH773z8=")</f>
        <v>#REF!</v>
      </c>
      <c r="BM77" t="e">
        <f>AND(#REF!,"AAAAAH7730A=")</f>
        <v>#REF!</v>
      </c>
      <c r="BN77" t="e">
        <f>AND(#REF!,"AAAAAH7730E=")</f>
        <v>#REF!</v>
      </c>
      <c r="BO77" t="e">
        <f>AND(#REF!,"AAAAAH7730I=")</f>
        <v>#REF!</v>
      </c>
      <c r="BP77" t="e">
        <f>AND(#REF!,"AAAAAH7730M=")</f>
        <v>#REF!</v>
      </c>
      <c r="BQ77" t="e">
        <f>AND(#REF!,"AAAAAH7730Q=")</f>
        <v>#REF!</v>
      </c>
      <c r="BR77" t="e">
        <f>AND(#REF!,"AAAAAH7730U=")</f>
        <v>#REF!</v>
      </c>
      <c r="BS77" t="e">
        <f>AND(#REF!,"AAAAAH7730Y=")</f>
        <v>#REF!</v>
      </c>
      <c r="BT77" t="e">
        <f>AND(#REF!,"AAAAAH7730c=")</f>
        <v>#REF!</v>
      </c>
      <c r="BU77" t="e">
        <f>AND(#REF!,"AAAAAH7730g=")</f>
        <v>#REF!</v>
      </c>
      <c r="BV77" t="e">
        <f>AND(#REF!,"AAAAAH7730k=")</f>
        <v>#REF!</v>
      </c>
      <c r="BW77" t="e">
        <f>AND(#REF!,"AAAAAH7730o=")</f>
        <v>#REF!</v>
      </c>
      <c r="BX77" t="e">
        <f>AND(#REF!,"AAAAAH7730s=")</f>
        <v>#REF!</v>
      </c>
      <c r="BY77" t="e">
        <f>AND(#REF!,"AAAAAH7730w=")</f>
        <v>#REF!</v>
      </c>
      <c r="BZ77" t="e">
        <f>AND(#REF!,"AAAAAH77300=")</f>
        <v>#REF!</v>
      </c>
      <c r="CA77" t="e">
        <f>AND(#REF!,"AAAAAH77304=")</f>
        <v>#REF!</v>
      </c>
      <c r="CB77" t="e">
        <f>AND(#REF!,"AAAAAH77308=")</f>
        <v>#REF!</v>
      </c>
      <c r="CC77" t="e">
        <f>AND(#REF!,"AAAAAH7731A=")</f>
        <v>#REF!</v>
      </c>
      <c r="CD77" t="e">
        <f>AND(#REF!,"AAAAAH7731E=")</f>
        <v>#REF!</v>
      </c>
      <c r="CE77" t="e">
        <f>AND(#REF!,"AAAAAH7731I=")</f>
        <v>#REF!</v>
      </c>
      <c r="CF77" t="e">
        <f>AND(#REF!,"AAAAAH7731M=")</f>
        <v>#REF!</v>
      </c>
      <c r="CG77" t="e">
        <f>AND(#REF!,"AAAAAH7731Q=")</f>
        <v>#REF!</v>
      </c>
      <c r="CH77" t="e">
        <f>AND(#REF!,"AAAAAH7731U=")</f>
        <v>#REF!</v>
      </c>
      <c r="CI77" t="e">
        <f>AND(#REF!,"AAAAAH7731Y=")</f>
        <v>#REF!</v>
      </c>
      <c r="CJ77" t="e">
        <f>AND(#REF!,"AAAAAH7731c=")</f>
        <v>#REF!</v>
      </c>
      <c r="CK77" t="e">
        <f>AND(#REF!,"AAAAAH7731g=")</f>
        <v>#REF!</v>
      </c>
      <c r="CL77" t="e">
        <f>AND(#REF!,"AAAAAH7731k=")</f>
        <v>#REF!</v>
      </c>
      <c r="CM77" t="e">
        <f>AND(#REF!,"AAAAAH7731o=")</f>
        <v>#REF!</v>
      </c>
      <c r="CN77" t="e">
        <f>AND(#REF!,"AAAAAH7731s=")</f>
        <v>#REF!</v>
      </c>
      <c r="CO77" t="e">
        <f>AND(#REF!,"AAAAAH7731w=")</f>
        <v>#REF!</v>
      </c>
      <c r="CP77" t="e">
        <f>AND(#REF!,"AAAAAH77310=")</f>
        <v>#REF!</v>
      </c>
      <c r="CQ77" t="e">
        <f>AND(#REF!,"AAAAAH77314=")</f>
        <v>#REF!</v>
      </c>
      <c r="CR77" t="e">
        <f>AND(#REF!,"AAAAAH77318=")</f>
        <v>#REF!</v>
      </c>
      <c r="CS77" t="e">
        <f>AND(#REF!,"AAAAAH7732A=")</f>
        <v>#REF!</v>
      </c>
      <c r="CT77" t="e">
        <f>AND(#REF!,"AAAAAH7732E=")</f>
        <v>#REF!</v>
      </c>
      <c r="CU77" t="e">
        <f>AND(#REF!,"AAAAAH7732I=")</f>
        <v>#REF!</v>
      </c>
      <c r="CV77" t="e">
        <f>AND(#REF!,"AAAAAH7732M=")</f>
        <v>#REF!</v>
      </c>
      <c r="CW77" t="e">
        <f>AND(#REF!,"AAAAAH7732Q=")</f>
        <v>#REF!</v>
      </c>
      <c r="CX77" t="e">
        <f>AND(#REF!,"AAAAAH7732U=")</f>
        <v>#REF!</v>
      </c>
      <c r="CY77" t="e">
        <f>AND(#REF!,"AAAAAH7732Y=")</f>
        <v>#REF!</v>
      </c>
      <c r="CZ77" t="e">
        <f>IF(#REF!,"AAAAAH7732c=",0)</f>
        <v>#REF!</v>
      </c>
      <c r="DA77" t="e">
        <f>AND(#REF!,"AAAAAH7732g=")</f>
        <v>#REF!</v>
      </c>
      <c r="DB77" t="e">
        <f>AND(#REF!,"AAAAAH7732k=")</f>
        <v>#REF!</v>
      </c>
      <c r="DC77" t="e">
        <f>AND(#REF!,"AAAAAH7732o=")</f>
        <v>#REF!</v>
      </c>
      <c r="DD77" t="e">
        <f>AND(#REF!,"AAAAAH7732s=")</f>
        <v>#REF!</v>
      </c>
      <c r="DE77" t="e">
        <f>AND(#REF!,"AAAAAH7732w=")</f>
        <v>#REF!</v>
      </c>
      <c r="DF77" t="e">
        <f>AND(#REF!,"AAAAAH77320=")</f>
        <v>#REF!</v>
      </c>
      <c r="DG77" t="e">
        <f>AND(#REF!,"AAAAAH77324=")</f>
        <v>#REF!</v>
      </c>
      <c r="DH77" t="e">
        <f>AND(#REF!,"AAAAAH77328=")</f>
        <v>#REF!</v>
      </c>
      <c r="DI77" t="e">
        <f>AND(#REF!,"AAAAAH7733A=")</f>
        <v>#REF!</v>
      </c>
      <c r="DJ77" t="e">
        <f>AND(#REF!,"AAAAAH7733E=")</f>
        <v>#REF!</v>
      </c>
      <c r="DK77" t="e">
        <f>AND(#REF!,"AAAAAH7733I=")</f>
        <v>#REF!</v>
      </c>
      <c r="DL77" t="e">
        <f>AND(#REF!,"AAAAAH7733M=")</f>
        <v>#REF!</v>
      </c>
      <c r="DM77" t="e">
        <f>AND(#REF!,"AAAAAH7733Q=")</f>
        <v>#REF!</v>
      </c>
      <c r="DN77" t="e">
        <f>AND(#REF!,"AAAAAH7733U=")</f>
        <v>#REF!</v>
      </c>
      <c r="DO77" t="e">
        <f>AND(#REF!,"AAAAAH7733Y=")</f>
        <v>#REF!</v>
      </c>
      <c r="DP77" t="e">
        <f>AND(#REF!,"AAAAAH7733c=")</f>
        <v>#REF!</v>
      </c>
      <c r="DQ77" t="e">
        <f>AND(#REF!,"AAAAAH7733g=")</f>
        <v>#REF!</v>
      </c>
      <c r="DR77" t="e">
        <f>AND(#REF!,"AAAAAH7733k=")</f>
        <v>#REF!</v>
      </c>
      <c r="DS77" t="e">
        <f>AND(#REF!,"AAAAAH7733o=")</f>
        <v>#REF!</v>
      </c>
      <c r="DT77" t="e">
        <f>AND(#REF!,"AAAAAH7733s=")</f>
        <v>#REF!</v>
      </c>
      <c r="DU77" t="e">
        <f>AND(#REF!,"AAAAAH7733w=")</f>
        <v>#REF!</v>
      </c>
      <c r="DV77" t="e">
        <f>AND(#REF!,"AAAAAH77330=")</f>
        <v>#REF!</v>
      </c>
      <c r="DW77" t="e">
        <f>AND(#REF!,"AAAAAH77334=")</f>
        <v>#REF!</v>
      </c>
      <c r="DX77" t="e">
        <f>AND(#REF!,"AAAAAH77338=")</f>
        <v>#REF!</v>
      </c>
      <c r="DY77" t="e">
        <f>AND(#REF!,"AAAAAH7734A=")</f>
        <v>#REF!</v>
      </c>
      <c r="DZ77" t="e">
        <f>AND(#REF!,"AAAAAH7734E=")</f>
        <v>#REF!</v>
      </c>
      <c r="EA77" t="e">
        <f>AND(#REF!,"AAAAAH7734I=")</f>
        <v>#REF!</v>
      </c>
      <c r="EB77" t="e">
        <f>AND(#REF!,"AAAAAH7734M=")</f>
        <v>#REF!</v>
      </c>
      <c r="EC77" t="e">
        <f>AND(#REF!,"AAAAAH7734Q=")</f>
        <v>#REF!</v>
      </c>
      <c r="ED77" t="e">
        <f>AND(#REF!,"AAAAAH7734U=")</f>
        <v>#REF!</v>
      </c>
      <c r="EE77" t="e">
        <f>AND(#REF!,"AAAAAH7734Y=")</f>
        <v>#REF!</v>
      </c>
      <c r="EF77" t="e">
        <f>AND(#REF!,"AAAAAH7734c=")</f>
        <v>#REF!</v>
      </c>
      <c r="EG77" t="e">
        <f>AND(#REF!,"AAAAAH7734g=")</f>
        <v>#REF!</v>
      </c>
      <c r="EH77" t="e">
        <f>AND(#REF!,"AAAAAH7734k=")</f>
        <v>#REF!</v>
      </c>
      <c r="EI77" t="e">
        <f>AND(#REF!,"AAAAAH7734o=")</f>
        <v>#REF!</v>
      </c>
      <c r="EJ77" t="e">
        <f>AND(#REF!,"AAAAAH7734s=")</f>
        <v>#REF!</v>
      </c>
      <c r="EK77" t="e">
        <f>AND(#REF!,"AAAAAH7734w=")</f>
        <v>#REF!</v>
      </c>
      <c r="EL77" t="e">
        <f>AND(#REF!,"AAAAAH77340=")</f>
        <v>#REF!</v>
      </c>
      <c r="EM77" t="e">
        <f>AND(#REF!,"AAAAAH77344=")</f>
        <v>#REF!</v>
      </c>
      <c r="EN77" t="e">
        <f>AND(#REF!,"AAAAAH77348=")</f>
        <v>#REF!</v>
      </c>
      <c r="EO77" t="e">
        <f>AND(#REF!,"AAAAAH7735A=")</f>
        <v>#REF!</v>
      </c>
      <c r="EP77" t="e">
        <f>AND(#REF!,"AAAAAH7735E=")</f>
        <v>#REF!</v>
      </c>
      <c r="EQ77" t="e">
        <f>AND(#REF!,"AAAAAH7735I=")</f>
        <v>#REF!</v>
      </c>
      <c r="ER77" t="e">
        <f>AND(#REF!,"AAAAAH7735M=")</f>
        <v>#REF!</v>
      </c>
      <c r="ES77" t="e">
        <f>AND(#REF!,"AAAAAH7735Q=")</f>
        <v>#REF!</v>
      </c>
      <c r="ET77" t="e">
        <f>AND(#REF!,"AAAAAH7735U=")</f>
        <v>#REF!</v>
      </c>
      <c r="EU77" t="e">
        <f>AND(#REF!,"AAAAAH7735Y=")</f>
        <v>#REF!</v>
      </c>
      <c r="EV77" t="e">
        <f>AND(#REF!,"AAAAAH7735c=")</f>
        <v>#REF!</v>
      </c>
      <c r="EW77" t="e">
        <f>AND(#REF!,"AAAAAH7735g=")</f>
        <v>#REF!</v>
      </c>
      <c r="EX77" t="e">
        <f>AND(#REF!,"AAAAAH7735k=")</f>
        <v>#REF!</v>
      </c>
      <c r="EY77" t="e">
        <f>AND(#REF!,"AAAAAH7735o=")</f>
        <v>#REF!</v>
      </c>
      <c r="EZ77" t="e">
        <f>AND(#REF!,"AAAAAH7735s=")</f>
        <v>#REF!</v>
      </c>
      <c r="FA77" t="e">
        <f>AND(#REF!,"AAAAAH7735w=")</f>
        <v>#REF!</v>
      </c>
      <c r="FB77" t="e">
        <f>AND(#REF!,"AAAAAH77350=")</f>
        <v>#REF!</v>
      </c>
      <c r="FC77" t="e">
        <f>IF(#REF!,"AAAAAH77354=",0)</f>
        <v>#REF!</v>
      </c>
      <c r="FD77" t="e">
        <f>AND(#REF!,"AAAAAH77358=")</f>
        <v>#REF!</v>
      </c>
      <c r="FE77" t="e">
        <f>AND(#REF!,"AAAAAH7736A=")</f>
        <v>#REF!</v>
      </c>
      <c r="FF77" t="e">
        <f>AND(#REF!,"AAAAAH7736E=")</f>
        <v>#REF!</v>
      </c>
      <c r="FG77" t="e">
        <f>AND(#REF!,"AAAAAH7736I=")</f>
        <v>#REF!</v>
      </c>
      <c r="FH77" t="e">
        <f>AND(#REF!,"AAAAAH7736M=")</f>
        <v>#REF!</v>
      </c>
      <c r="FI77" t="e">
        <f>AND(#REF!,"AAAAAH7736Q=")</f>
        <v>#REF!</v>
      </c>
      <c r="FJ77" t="e">
        <f>AND(#REF!,"AAAAAH7736U=")</f>
        <v>#REF!</v>
      </c>
      <c r="FK77" t="e">
        <f>AND(#REF!,"AAAAAH7736Y=")</f>
        <v>#REF!</v>
      </c>
      <c r="FL77" t="e">
        <f>AND(#REF!,"AAAAAH7736c=")</f>
        <v>#REF!</v>
      </c>
      <c r="FM77" t="e">
        <f>AND(#REF!,"AAAAAH7736g=")</f>
        <v>#REF!</v>
      </c>
      <c r="FN77" t="e">
        <f>AND(#REF!,"AAAAAH7736k=")</f>
        <v>#REF!</v>
      </c>
      <c r="FO77" t="e">
        <f>AND(#REF!,"AAAAAH7736o=")</f>
        <v>#REF!</v>
      </c>
      <c r="FP77" t="e">
        <f>AND(#REF!,"AAAAAH7736s=")</f>
        <v>#REF!</v>
      </c>
      <c r="FQ77" t="e">
        <f>AND(#REF!,"AAAAAH7736w=")</f>
        <v>#REF!</v>
      </c>
      <c r="FR77" t="e">
        <f>AND(#REF!,"AAAAAH77360=")</f>
        <v>#REF!</v>
      </c>
      <c r="FS77" t="e">
        <f>AND(#REF!,"AAAAAH77364=")</f>
        <v>#REF!</v>
      </c>
      <c r="FT77" t="e">
        <f>AND(#REF!,"AAAAAH77368=")</f>
        <v>#REF!</v>
      </c>
      <c r="FU77" t="e">
        <f>AND(#REF!,"AAAAAH7737A=")</f>
        <v>#REF!</v>
      </c>
      <c r="FV77" t="e">
        <f>AND(#REF!,"AAAAAH7737E=")</f>
        <v>#REF!</v>
      </c>
      <c r="FW77" t="e">
        <f>AND(#REF!,"AAAAAH7737I=")</f>
        <v>#REF!</v>
      </c>
      <c r="FX77" t="e">
        <f>AND(#REF!,"AAAAAH7737M=")</f>
        <v>#REF!</v>
      </c>
      <c r="FY77" t="e">
        <f>AND(#REF!,"AAAAAH7737Q=")</f>
        <v>#REF!</v>
      </c>
      <c r="FZ77" t="e">
        <f>AND(#REF!,"AAAAAH7737U=")</f>
        <v>#REF!</v>
      </c>
      <c r="GA77" t="e">
        <f>AND(#REF!,"AAAAAH7737Y=")</f>
        <v>#REF!</v>
      </c>
      <c r="GB77" t="e">
        <f>AND(#REF!,"AAAAAH7737c=")</f>
        <v>#REF!</v>
      </c>
      <c r="GC77" t="e">
        <f>AND(#REF!,"AAAAAH7737g=")</f>
        <v>#REF!</v>
      </c>
      <c r="GD77" t="e">
        <f>AND(#REF!,"AAAAAH7737k=")</f>
        <v>#REF!</v>
      </c>
      <c r="GE77" t="e">
        <f>AND(#REF!,"AAAAAH7737o=")</f>
        <v>#REF!</v>
      </c>
      <c r="GF77" t="e">
        <f>AND(#REF!,"AAAAAH7737s=")</f>
        <v>#REF!</v>
      </c>
      <c r="GG77" t="e">
        <f>AND(#REF!,"AAAAAH7737w=")</f>
        <v>#REF!</v>
      </c>
      <c r="GH77" t="e">
        <f>AND(#REF!,"AAAAAH77370=")</f>
        <v>#REF!</v>
      </c>
      <c r="GI77" t="e">
        <f>AND(#REF!,"AAAAAH77374=")</f>
        <v>#REF!</v>
      </c>
      <c r="GJ77" t="e">
        <f>AND(#REF!,"AAAAAH77378=")</f>
        <v>#REF!</v>
      </c>
      <c r="GK77" t="e">
        <f>AND(#REF!,"AAAAAH7738A=")</f>
        <v>#REF!</v>
      </c>
      <c r="GL77" t="e">
        <f>AND(#REF!,"AAAAAH7738E=")</f>
        <v>#REF!</v>
      </c>
      <c r="GM77" t="e">
        <f>AND(#REF!,"AAAAAH7738I=")</f>
        <v>#REF!</v>
      </c>
      <c r="GN77" t="e">
        <f>AND(#REF!,"AAAAAH7738M=")</f>
        <v>#REF!</v>
      </c>
      <c r="GO77" t="e">
        <f>AND(#REF!,"AAAAAH7738Q=")</f>
        <v>#REF!</v>
      </c>
      <c r="GP77" t="e">
        <f>AND(#REF!,"AAAAAH7738U=")</f>
        <v>#REF!</v>
      </c>
      <c r="GQ77" t="e">
        <f>AND(#REF!,"AAAAAH7738Y=")</f>
        <v>#REF!</v>
      </c>
      <c r="GR77" t="e">
        <f>AND(#REF!,"AAAAAH7738c=")</f>
        <v>#REF!</v>
      </c>
      <c r="GS77" t="e">
        <f>AND(#REF!,"AAAAAH7738g=")</f>
        <v>#REF!</v>
      </c>
      <c r="GT77" t="e">
        <f>AND(#REF!,"AAAAAH7738k=")</f>
        <v>#REF!</v>
      </c>
      <c r="GU77" t="e">
        <f>AND(#REF!,"AAAAAH7738o=")</f>
        <v>#REF!</v>
      </c>
      <c r="GV77" t="e">
        <f>AND(#REF!,"AAAAAH7738s=")</f>
        <v>#REF!</v>
      </c>
      <c r="GW77" t="e">
        <f>AND(#REF!,"AAAAAH7738w=")</f>
        <v>#REF!</v>
      </c>
      <c r="GX77" t="e">
        <f>AND(#REF!,"AAAAAH77380=")</f>
        <v>#REF!</v>
      </c>
      <c r="GY77" t="e">
        <f>AND(#REF!,"AAAAAH77384=")</f>
        <v>#REF!</v>
      </c>
      <c r="GZ77" t="e">
        <f>AND(#REF!,"AAAAAH77388=")</f>
        <v>#REF!</v>
      </c>
      <c r="HA77" t="e">
        <f>AND(#REF!,"AAAAAH7739A=")</f>
        <v>#REF!</v>
      </c>
      <c r="HB77" t="e">
        <f>AND(#REF!,"AAAAAH7739E=")</f>
        <v>#REF!</v>
      </c>
      <c r="HC77" t="e">
        <f>AND(#REF!,"AAAAAH7739I=")</f>
        <v>#REF!</v>
      </c>
      <c r="HD77" t="e">
        <f>AND(#REF!,"AAAAAH7739M=")</f>
        <v>#REF!</v>
      </c>
      <c r="HE77" t="e">
        <f>AND(#REF!,"AAAAAH7739Q=")</f>
        <v>#REF!</v>
      </c>
      <c r="HF77" t="e">
        <f>IF(#REF!,"AAAAAH7739U=",0)</f>
        <v>#REF!</v>
      </c>
      <c r="HG77" t="e">
        <f>AND(#REF!,"AAAAAH7739Y=")</f>
        <v>#REF!</v>
      </c>
      <c r="HH77" t="e">
        <f>AND(#REF!,"AAAAAH7739c=")</f>
        <v>#REF!</v>
      </c>
      <c r="HI77" t="e">
        <f>AND(#REF!,"AAAAAH7739g=")</f>
        <v>#REF!</v>
      </c>
      <c r="HJ77" t="e">
        <f>AND(#REF!,"AAAAAH7739k=")</f>
        <v>#REF!</v>
      </c>
      <c r="HK77" t="e">
        <f>AND(#REF!,"AAAAAH7739o=")</f>
        <v>#REF!</v>
      </c>
      <c r="HL77" t="e">
        <f>AND(#REF!,"AAAAAH7739s=")</f>
        <v>#REF!</v>
      </c>
      <c r="HM77" t="e">
        <f>AND(#REF!,"AAAAAH7739w=")</f>
        <v>#REF!</v>
      </c>
      <c r="HN77" t="e">
        <f>AND(#REF!,"AAAAAH77390=")</f>
        <v>#REF!</v>
      </c>
      <c r="HO77" t="e">
        <f>AND(#REF!,"AAAAAH77394=")</f>
        <v>#REF!</v>
      </c>
      <c r="HP77" t="e">
        <f>AND(#REF!,"AAAAAH77398=")</f>
        <v>#REF!</v>
      </c>
      <c r="HQ77" t="e">
        <f>AND(#REF!,"AAAAAH773+A=")</f>
        <v>#REF!</v>
      </c>
      <c r="HR77" t="e">
        <f>AND(#REF!,"AAAAAH773+E=")</f>
        <v>#REF!</v>
      </c>
      <c r="HS77" t="e">
        <f>AND(#REF!,"AAAAAH773+I=")</f>
        <v>#REF!</v>
      </c>
      <c r="HT77" t="e">
        <f>AND(#REF!,"AAAAAH773+M=")</f>
        <v>#REF!</v>
      </c>
      <c r="HU77" t="e">
        <f>AND(#REF!,"AAAAAH773+Q=")</f>
        <v>#REF!</v>
      </c>
      <c r="HV77" t="e">
        <f>AND(#REF!,"AAAAAH773+U=")</f>
        <v>#REF!</v>
      </c>
      <c r="HW77" t="e">
        <f>AND(#REF!,"AAAAAH773+Y=")</f>
        <v>#REF!</v>
      </c>
      <c r="HX77" t="e">
        <f>AND(#REF!,"AAAAAH773+c=")</f>
        <v>#REF!</v>
      </c>
      <c r="HY77" t="e">
        <f>AND(#REF!,"AAAAAH773+g=")</f>
        <v>#REF!</v>
      </c>
      <c r="HZ77" t="e">
        <f>AND(#REF!,"AAAAAH773+k=")</f>
        <v>#REF!</v>
      </c>
      <c r="IA77" t="e">
        <f>AND(#REF!,"AAAAAH773+o=")</f>
        <v>#REF!</v>
      </c>
      <c r="IB77" t="e">
        <f>AND(#REF!,"AAAAAH773+s=")</f>
        <v>#REF!</v>
      </c>
      <c r="IC77" t="e">
        <f>AND(#REF!,"AAAAAH773+w=")</f>
        <v>#REF!</v>
      </c>
      <c r="ID77" t="e">
        <f>AND(#REF!,"AAAAAH773+0=")</f>
        <v>#REF!</v>
      </c>
      <c r="IE77" t="e">
        <f>AND(#REF!,"AAAAAH773+4=")</f>
        <v>#REF!</v>
      </c>
      <c r="IF77" t="e">
        <f>AND(#REF!,"AAAAAH773+8=")</f>
        <v>#REF!</v>
      </c>
      <c r="IG77" t="e">
        <f>AND(#REF!,"AAAAAH773/A=")</f>
        <v>#REF!</v>
      </c>
      <c r="IH77" t="e">
        <f>AND(#REF!,"AAAAAH773/E=")</f>
        <v>#REF!</v>
      </c>
      <c r="II77" t="e">
        <f>AND(#REF!,"AAAAAH773/I=")</f>
        <v>#REF!</v>
      </c>
      <c r="IJ77" t="e">
        <f>AND(#REF!,"AAAAAH773/M=")</f>
        <v>#REF!</v>
      </c>
      <c r="IK77" t="e">
        <f>AND(#REF!,"AAAAAH773/Q=")</f>
        <v>#REF!</v>
      </c>
      <c r="IL77" t="e">
        <f>AND(#REF!,"AAAAAH773/U=")</f>
        <v>#REF!</v>
      </c>
      <c r="IM77" t="e">
        <f>AND(#REF!,"AAAAAH773/Y=")</f>
        <v>#REF!</v>
      </c>
      <c r="IN77" t="e">
        <f>AND(#REF!,"AAAAAH773/c=")</f>
        <v>#REF!</v>
      </c>
      <c r="IO77" t="e">
        <f>AND(#REF!,"AAAAAH773/g=")</f>
        <v>#REF!</v>
      </c>
      <c r="IP77" t="e">
        <f>AND(#REF!,"AAAAAH773/k=")</f>
        <v>#REF!</v>
      </c>
      <c r="IQ77" t="e">
        <f>AND(#REF!,"AAAAAH773/o=")</f>
        <v>#REF!</v>
      </c>
      <c r="IR77" t="e">
        <f>AND(#REF!,"AAAAAH773/s=")</f>
        <v>#REF!</v>
      </c>
      <c r="IS77" t="e">
        <f>AND(#REF!,"AAAAAH773/w=")</f>
        <v>#REF!</v>
      </c>
      <c r="IT77" t="e">
        <f>AND(#REF!,"AAAAAH773/0=")</f>
        <v>#REF!</v>
      </c>
      <c r="IU77" t="e">
        <f>AND(#REF!,"AAAAAH773/4=")</f>
        <v>#REF!</v>
      </c>
      <c r="IV77" t="e">
        <f>AND(#REF!,"AAAAAH773/8=")</f>
        <v>#REF!</v>
      </c>
    </row>
    <row r="78" spans="1:256" x14ac:dyDescent="0.25">
      <c r="A78" t="e">
        <f>AND(#REF!,"AAAAAH/95AA=")</f>
        <v>#REF!</v>
      </c>
      <c r="B78" t="e">
        <f>AND(#REF!,"AAAAAH/95AE=")</f>
        <v>#REF!</v>
      </c>
      <c r="C78" t="e">
        <f>AND(#REF!,"AAAAAH/95AI=")</f>
        <v>#REF!</v>
      </c>
      <c r="D78" t="e">
        <f>AND(#REF!,"AAAAAH/95AM=")</f>
        <v>#REF!</v>
      </c>
      <c r="E78" t="e">
        <f>AND(#REF!,"AAAAAH/95AQ=")</f>
        <v>#REF!</v>
      </c>
      <c r="F78" t="e">
        <f>AND(#REF!,"AAAAAH/95AU=")</f>
        <v>#REF!</v>
      </c>
      <c r="G78" t="e">
        <f>AND(#REF!,"AAAAAH/95AY=")</f>
        <v>#REF!</v>
      </c>
      <c r="H78" t="e">
        <f>AND(#REF!,"AAAAAH/95Ac=")</f>
        <v>#REF!</v>
      </c>
      <c r="I78" t="e">
        <f>AND(#REF!,"AAAAAH/95Ag=")</f>
        <v>#REF!</v>
      </c>
      <c r="J78" t="e">
        <f>AND(#REF!,"AAAAAH/95Ak=")</f>
        <v>#REF!</v>
      </c>
      <c r="K78" t="e">
        <f>AND(#REF!,"AAAAAH/95Ao=")</f>
        <v>#REF!</v>
      </c>
      <c r="L78" t="e">
        <f>AND(#REF!,"AAAAAH/95As=")</f>
        <v>#REF!</v>
      </c>
      <c r="M78" t="e">
        <f>IF(#REF!,"AAAAAH/95Aw=",0)</f>
        <v>#REF!</v>
      </c>
      <c r="N78" t="e">
        <f>AND(#REF!,"AAAAAH/95A0=")</f>
        <v>#REF!</v>
      </c>
      <c r="O78" t="e">
        <f>AND(#REF!,"AAAAAH/95A4=")</f>
        <v>#REF!</v>
      </c>
      <c r="P78" t="e">
        <f>AND(#REF!,"AAAAAH/95A8=")</f>
        <v>#REF!</v>
      </c>
      <c r="Q78" t="e">
        <f>AND(#REF!,"AAAAAH/95BA=")</f>
        <v>#REF!</v>
      </c>
      <c r="R78" t="e">
        <f>AND(#REF!,"AAAAAH/95BE=")</f>
        <v>#REF!</v>
      </c>
      <c r="S78" t="e">
        <f>AND(#REF!,"AAAAAH/95BI=")</f>
        <v>#REF!</v>
      </c>
      <c r="T78" t="e">
        <f>AND(#REF!,"AAAAAH/95BM=")</f>
        <v>#REF!</v>
      </c>
      <c r="U78" t="e">
        <f>AND(#REF!,"AAAAAH/95BQ=")</f>
        <v>#REF!</v>
      </c>
      <c r="V78" t="e">
        <f>AND(#REF!,"AAAAAH/95BU=")</f>
        <v>#REF!</v>
      </c>
      <c r="W78" t="e">
        <f>AND(#REF!,"AAAAAH/95BY=")</f>
        <v>#REF!</v>
      </c>
      <c r="X78" t="e">
        <f>AND(#REF!,"AAAAAH/95Bc=")</f>
        <v>#REF!</v>
      </c>
      <c r="Y78" t="e">
        <f>AND(#REF!,"AAAAAH/95Bg=")</f>
        <v>#REF!</v>
      </c>
      <c r="Z78" t="e">
        <f>AND(#REF!,"AAAAAH/95Bk=")</f>
        <v>#REF!</v>
      </c>
      <c r="AA78" t="e">
        <f>AND(#REF!,"AAAAAH/95Bo=")</f>
        <v>#REF!</v>
      </c>
      <c r="AB78" t="e">
        <f>AND(#REF!,"AAAAAH/95Bs=")</f>
        <v>#REF!</v>
      </c>
      <c r="AC78" t="e">
        <f>AND(#REF!,"AAAAAH/95Bw=")</f>
        <v>#REF!</v>
      </c>
      <c r="AD78" t="e">
        <f>AND(#REF!,"AAAAAH/95B0=")</f>
        <v>#REF!</v>
      </c>
      <c r="AE78" t="e">
        <f>AND(#REF!,"AAAAAH/95B4=")</f>
        <v>#REF!</v>
      </c>
      <c r="AF78" t="e">
        <f>AND(#REF!,"AAAAAH/95B8=")</f>
        <v>#REF!</v>
      </c>
      <c r="AG78" t="e">
        <f>AND(#REF!,"AAAAAH/95CA=")</f>
        <v>#REF!</v>
      </c>
      <c r="AH78" t="e">
        <f>AND(#REF!,"AAAAAH/95CE=")</f>
        <v>#REF!</v>
      </c>
      <c r="AI78" t="e">
        <f>AND(#REF!,"AAAAAH/95CI=")</f>
        <v>#REF!</v>
      </c>
      <c r="AJ78" t="e">
        <f>AND(#REF!,"AAAAAH/95CM=")</f>
        <v>#REF!</v>
      </c>
      <c r="AK78" t="e">
        <f>AND(#REF!,"AAAAAH/95CQ=")</f>
        <v>#REF!</v>
      </c>
      <c r="AL78" t="e">
        <f>AND(#REF!,"AAAAAH/95CU=")</f>
        <v>#REF!</v>
      </c>
      <c r="AM78" t="e">
        <f>AND(#REF!,"AAAAAH/95CY=")</f>
        <v>#REF!</v>
      </c>
      <c r="AN78" t="e">
        <f>AND(#REF!,"AAAAAH/95Cc=")</f>
        <v>#REF!</v>
      </c>
      <c r="AO78" t="e">
        <f>AND(#REF!,"AAAAAH/95Cg=")</f>
        <v>#REF!</v>
      </c>
      <c r="AP78" t="e">
        <f>AND(#REF!,"AAAAAH/95Ck=")</f>
        <v>#REF!</v>
      </c>
      <c r="AQ78" t="e">
        <f>AND(#REF!,"AAAAAH/95Co=")</f>
        <v>#REF!</v>
      </c>
      <c r="AR78" t="e">
        <f>AND(#REF!,"AAAAAH/95Cs=")</f>
        <v>#REF!</v>
      </c>
      <c r="AS78" t="e">
        <f>AND(#REF!,"AAAAAH/95Cw=")</f>
        <v>#REF!</v>
      </c>
      <c r="AT78" t="e">
        <f>AND(#REF!,"AAAAAH/95C0=")</f>
        <v>#REF!</v>
      </c>
      <c r="AU78" t="e">
        <f>AND(#REF!,"AAAAAH/95C4=")</f>
        <v>#REF!</v>
      </c>
      <c r="AV78" t="e">
        <f>AND(#REF!,"AAAAAH/95C8=")</f>
        <v>#REF!</v>
      </c>
      <c r="AW78" t="e">
        <f>AND(#REF!,"AAAAAH/95DA=")</f>
        <v>#REF!</v>
      </c>
      <c r="AX78" t="e">
        <f>AND(#REF!,"AAAAAH/95DE=")</f>
        <v>#REF!</v>
      </c>
      <c r="AY78" t="e">
        <f>AND(#REF!,"AAAAAH/95DI=")</f>
        <v>#REF!</v>
      </c>
      <c r="AZ78" t="e">
        <f>AND(#REF!,"AAAAAH/95DM=")</f>
        <v>#REF!</v>
      </c>
      <c r="BA78" t="e">
        <f>AND(#REF!,"AAAAAH/95DQ=")</f>
        <v>#REF!</v>
      </c>
      <c r="BB78" t="e">
        <f>AND(#REF!,"AAAAAH/95DU=")</f>
        <v>#REF!</v>
      </c>
      <c r="BC78" t="e">
        <f>AND(#REF!,"AAAAAH/95DY=")</f>
        <v>#REF!</v>
      </c>
      <c r="BD78" t="e">
        <f>AND(#REF!,"AAAAAH/95Dc=")</f>
        <v>#REF!</v>
      </c>
      <c r="BE78" t="e">
        <f>AND(#REF!,"AAAAAH/95Dg=")</f>
        <v>#REF!</v>
      </c>
      <c r="BF78" t="e">
        <f>AND(#REF!,"AAAAAH/95Dk=")</f>
        <v>#REF!</v>
      </c>
      <c r="BG78" t="e">
        <f>AND(#REF!,"AAAAAH/95Do=")</f>
        <v>#REF!</v>
      </c>
      <c r="BH78" t="e">
        <f>AND(#REF!,"AAAAAH/95Ds=")</f>
        <v>#REF!</v>
      </c>
      <c r="BI78" t="e">
        <f>AND(#REF!,"AAAAAH/95Dw=")</f>
        <v>#REF!</v>
      </c>
      <c r="BJ78" t="e">
        <f>AND(#REF!,"AAAAAH/95D0=")</f>
        <v>#REF!</v>
      </c>
      <c r="BK78" t="e">
        <f>AND(#REF!,"AAAAAH/95D4=")</f>
        <v>#REF!</v>
      </c>
      <c r="BL78" t="e">
        <f>AND(#REF!,"AAAAAH/95D8=")</f>
        <v>#REF!</v>
      </c>
      <c r="BM78" t="e">
        <f>AND(#REF!,"AAAAAH/95EA=")</f>
        <v>#REF!</v>
      </c>
      <c r="BN78" t="e">
        <f>AND(#REF!,"AAAAAH/95EE=")</f>
        <v>#REF!</v>
      </c>
      <c r="BO78" t="e">
        <f>AND(#REF!,"AAAAAH/95EI=")</f>
        <v>#REF!</v>
      </c>
      <c r="BP78" t="e">
        <f>IF(#REF!,"AAAAAH/95EM=",0)</f>
        <v>#REF!</v>
      </c>
      <c r="BQ78" t="e">
        <f>AND(#REF!,"AAAAAH/95EQ=")</f>
        <v>#REF!</v>
      </c>
      <c r="BR78" t="e">
        <f>AND(#REF!,"AAAAAH/95EU=")</f>
        <v>#REF!</v>
      </c>
      <c r="BS78" t="e">
        <f>AND(#REF!,"AAAAAH/95EY=")</f>
        <v>#REF!</v>
      </c>
      <c r="BT78" t="e">
        <f>AND(#REF!,"AAAAAH/95Ec=")</f>
        <v>#REF!</v>
      </c>
      <c r="BU78" t="e">
        <f>AND(#REF!,"AAAAAH/95Eg=")</f>
        <v>#REF!</v>
      </c>
      <c r="BV78" t="e">
        <f>AND(#REF!,"AAAAAH/95Ek=")</f>
        <v>#REF!</v>
      </c>
      <c r="BW78" t="e">
        <f>AND(#REF!,"AAAAAH/95Eo=")</f>
        <v>#REF!</v>
      </c>
      <c r="BX78" t="e">
        <f>AND(#REF!,"AAAAAH/95Es=")</f>
        <v>#REF!</v>
      </c>
      <c r="BY78" t="e">
        <f>AND(#REF!,"AAAAAH/95Ew=")</f>
        <v>#REF!</v>
      </c>
      <c r="BZ78" t="e">
        <f>AND(#REF!,"AAAAAH/95E0=")</f>
        <v>#REF!</v>
      </c>
      <c r="CA78" t="e">
        <f>AND(#REF!,"AAAAAH/95E4=")</f>
        <v>#REF!</v>
      </c>
      <c r="CB78" t="e">
        <f>AND(#REF!,"AAAAAH/95E8=")</f>
        <v>#REF!</v>
      </c>
      <c r="CC78" t="e">
        <f>AND(#REF!,"AAAAAH/95FA=")</f>
        <v>#REF!</v>
      </c>
      <c r="CD78" t="e">
        <f>AND(#REF!,"AAAAAH/95FE=")</f>
        <v>#REF!</v>
      </c>
      <c r="CE78" t="e">
        <f>AND(#REF!,"AAAAAH/95FI=")</f>
        <v>#REF!</v>
      </c>
      <c r="CF78" t="e">
        <f>AND(#REF!,"AAAAAH/95FM=")</f>
        <v>#REF!</v>
      </c>
      <c r="CG78" t="e">
        <f>AND(#REF!,"AAAAAH/95FQ=")</f>
        <v>#REF!</v>
      </c>
      <c r="CH78" t="e">
        <f>AND(#REF!,"AAAAAH/95FU=")</f>
        <v>#REF!</v>
      </c>
      <c r="CI78" t="e">
        <f>AND(#REF!,"AAAAAH/95FY=")</f>
        <v>#REF!</v>
      </c>
      <c r="CJ78" t="e">
        <f>AND(#REF!,"AAAAAH/95Fc=")</f>
        <v>#REF!</v>
      </c>
      <c r="CK78" t="e">
        <f>AND(#REF!,"AAAAAH/95Fg=")</f>
        <v>#REF!</v>
      </c>
      <c r="CL78" t="e">
        <f>AND(#REF!,"AAAAAH/95Fk=")</f>
        <v>#REF!</v>
      </c>
      <c r="CM78" t="e">
        <f>AND(#REF!,"AAAAAH/95Fo=")</f>
        <v>#REF!</v>
      </c>
      <c r="CN78" t="e">
        <f>AND(#REF!,"AAAAAH/95Fs=")</f>
        <v>#REF!</v>
      </c>
      <c r="CO78" t="e">
        <f>AND(#REF!,"AAAAAH/95Fw=")</f>
        <v>#REF!</v>
      </c>
      <c r="CP78" t="e">
        <f>AND(#REF!,"AAAAAH/95F0=")</f>
        <v>#REF!</v>
      </c>
      <c r="CQ78" t="e">
        <f>AND(#REF!,"AAAAAH/95F4=")</f>
        <v>#REF!</v>
      </c>
      <c r="CR78" t="e">
        <f>AND(#REF!,"AAAAAH/95F8=")</f>
        <v>#REF!</v>
      </c>
      <c r="CS78" t="e">
        <f>AND(#REF!,"AAAAAH/95GA=")</f>
        <v>#REF!</v>
      </c>
      <c r="CT78" t="e">
        <f>AND(#REF!,"AAAAAH/95GE=")</f>
        <v>#REF!</v>
      </c>
      <c r="CU78" t="e">
        <f>AND(#REF!,"AAAAAH/95GI=")</f>
        <v>#REF!</v>
      </c>
      <c r="CV78" t="e">
        <f>AND(#REF!,"AAAAAH/95GM=")</f>
        <v>#REF!</v>
      </c>
      <c r="CW78" t="e">
        <f>AND(#REF!,"AAAAAH/95GQ=")</f>
        <v>#REF!</v>
      </c>
      <c r="CX78" t="e">
        <f>AND(#REF!,"AAAAAH/95GU=")</f>
        <v>#REF!</v>
      </c>
      <c r="CY78" t="e">
        <f>AND(#REF!,"AAAAAH/95GY=")</f>
        <v>#REF!</v>
      </c>
      <c r="CZ78" t="e">
        <f>AND(#REF!,"AAAAAH/95Gc=")</f>
        <v>#REF!</v>
      </c>
      <c r="DA78" t="e">
        <f>AND(#REF!,"AAAAAH/95Gg=")</f>
        <v>#REF!</v>
      </c>
      <c r="DB78" t="e">
        <f>AND(#REF!,"AAAAAH/95Gk=")</f>
        <v>#REF!</v>
      </c>
      <c r="DC78" t="e">
        <f>AND(#REF!,"AAAAAH/95Go=")</f>
        <v>#REF!</v>
      </c>
      <c r="DD78" t="e">
        <f>AND(#REF!,"AAAAAH/95Gs=")</f>
        <v>#REF!</v>
      </c>
      <c r="DE78" t="e">
        <f>AND(#REF!,"AAAAAH/95Gw=")</f>
        <v>#REF!</v>
      </c>
      <c r="DF78" t="e">
        <f>AND(#REF!,"AAAAAH/95G0=")</f>
        <v>#REF!</v>
      </c>
      <c r="DG78" t="e">
        <f>AND(#REF!,"AAAAAH/95G4=")</f>
        <v>#REF!</v>
      </c>
      <c r="DH78" t="e">
        <f>AND(#REF!,"AAAAAH/95G8=")</f>
        <v>#REF!</v>
      </c>
      <c r="DI78" t="e">
        <f>AND(#REF!,"AAAAAH/95HA=")</f>
        <v>#REF!</v>
      </c>
      <c r="DJ78" t="e">
        <f>AND(#REF!,"AAAAAH/95HE=")</f>
        <v>#REF!</v>
      </c>
      <c r="DK78" t="e">
        <f>AND(#REF!,"AAAAAH/95HI=")</f>
        <v>#REF!</v>
      </c>
      <c r="DL78" t="e">
        <f>AND(#REF!,"AAAAAH/95HM=")</f>
        <v>#REF!</v>
      </c>
      <c r="DM78" t="e">
        <f>AND(#REF!,"AAAAAH/95HQ=")</f>
        <v>#REF!</v>
      </c>
      <c r="DN78" t="e">
        <f>AND(#REF!,"AAAAAH/95HU=")</f>
        <v>#REF!</v>
      </c>
      <c r="DO78" t="e">
        <f>AND(#REF!,"AAAAAH/95HY=")</f>
        <v>#REF!</v>
      </c>
      <c r="DP78" t="e">
        <f>AND(#REF!,"AAAAAH/95Hc=")</f>
        <v>#REF!</v>
      </c>
      <c r="DQ78" t="e">
        <f>AND(#REF!,"AAAAAH/95Hg=")</f>
        <v>#REF!</v>
      </c>
      <c r="DR78" t="e">
        <f>AND(#REF!,"AAAAAH/95Hk=")</f>
        <v>#REF!</v>
      </c>
      <c r="DS78" t="e">
        <f>IF(#REF!,"AAAAAH/95Ho=",0)</f>
        <v>#REF!</v>
      </c>
      <c r="DT78" t="e">
        <f>AND(#REF!,"AAAAAH/95Hs=")</f>
        <v>#REF!</v>
      </c>
      <c r="DU78" t="e">
        <f>AND(#REF!,"AAAAAH/95Hw=")</f>
        <v>#REF!</v>
      </c>
      <c r="DV78" t="e">
        <f>AND(#REF!,"AAAAAH/95H0=")</f>
        <v>#REF!</v>
      </c>
      <c r="DW78" t="e">
        <f>AND(#REF!,"AAAAAH/95H4=")</f>
        <v>#REF!</v>
      </c>
      <c r="DX78" t="e">
        <f>AND(#REF!,"AAAAAH/95H8=")</f>
        <v>#REF!</v>
      </c>
      <c r="DY78" t="e">
        <f>AND(#REF!,"AAAAAH/95IA=")</f>
        <v>#REF!</v>
      </c>
      <c r="DZ78" t="e">
        <f>AND(#REF!,"AAAAAH/95IE=")</f>
        <v>#REF!</v>
      </c>
      <c r="EA78" t="e">
        <f>AND(#REF!,"AAAAAH/95II=")</f>
        <v>#REF!</v>
      </c>
      <c r="EB78" t="e">
        <f>AND(#REF!,"AAAAAH/95IM=")</f>
        <v>#REF!</v>
      </c>
      <c r="EC78" t="e">
        <f>AND(#REF!,"AAAAAH/95IQ=")</f>
        <v>#REF!</v>
      </c>
      <c r="ED78" t="e">
        <f>AND(#REF!,"AAAAAH/95IU=")</f>
        <v>#REF!</v>
      </c>
      <c r="EE78" t="e">
        <f>AND(#REF!,"AAAAAH/95IY=")</f>
        <v>#REF!</v>
      </c>
      <c r="EF78" t="e">
        <f>AND(#REF!,"AAAAAH/95Ic=")</f>
        <v>#REF!</v>
      </c>
      <c r="EG78" t="e">
        <f>AND(#REF!,"AAAAAH/95Ig=")</f>
        <v>#REF!</v>
      </c>
      <c r="EH78" t="e">
        <f>AND(#REF!,"AAAAAH/95Ik=")</f>
        <v>#REF!</v>
      </c>
      <c r="EI78" t="e">
        <f>AND(#REF!,"AAAAAH/95Io=")</f>
        <v>#REF!</v>
      </c>
      <c r="EJ78" t="e">
        <f>AND(#REF!,"AAAAAH/95Is=")</f>
        <v>#REF!</v>
      </c>
      <c r="EK78" t="e">
        <f>AND(#REF!,"AAAAAH/95Iw=")</f>
        <v>#REF!</v>
      </c>
      <c r="EL78" t="e">
        <f>AND(#REF!,"AAAAAH/95I0=")</f>
        <v>#REF!</v>
      </c>
      <c r="EM78" t="e">
        <f>AND(#REF!,"AAAAAH/95I4=")</f>
        <v>#REF!</v>
      </c>
      <c r="EN78" t="e">
        <f>AND(#REF!,"AAAAAH/95I8=")</f>
        <v>#REF!</v>
      </c>
      <c r="EO78" t="e">
        <f>AND(#REF!,"AAAAAH/95JA=")</f>
        <v>#REF!</v>
      </c>
      <c r="EP78" t="e">
        <f>AND(#REF!,"AAAAAH/95JE=")</f>
        <v>#REF!</v>
      </c>
      <c r="EQ78" t="e">
        <f>AND(#REF!,"AAAAAH/95JI=")</f>
        <v>#REF!</v>
      </c>
      <c r="ER78" t="e">
        <f>AND(#REF!,"AAAAAH/95JM=")</f>
        <v>#REF!</v>
      </c>
      <c r="ES78" t="e">
        <f>AND(#REF!,"AAAAAH/95JQ=")</f>
        <v>#REF!</v>
      </c>
      <c r="ET78" t="e">
        <f>AND(#REF!,"AAAAAH/95JU=")</f>
        <v>#REF!</v>
      </c>
      <c r="EU78" t="e">
        <f>AND(#REF!,"AAAAAH/95JY=")</f>
        <v>#REF!</v>
      </c>
      <c r="EV78" t="e">
        <f>AND(#REF!,"AAAAAH/95Jc=")</f>
        <v>#REF!</v>
      </c>
      <c r="EW78" t="e">
        <f>AND(#REF!,"AAAAAH/95Jg=")</f>
        <v>#REF!</v>
      </c>
      <c r="EX78" t="e">
        <f>AND(#REF!,"AAAAAH/95Jk=")</f>
        <v>#REF!</v>
      </c>
      <c r="EY78" t="e">
        <f>AND(#REF!,"AAAAAH/95Jo=")</f>
        <v>#REF!</v>
      </c>
      <c r="EZ78" t="e">
        <f>AND(#REF!,"AAAAAH/95Js=")</f>
        <v>#REF!</v>
      </c>
      <c r="FA78" t="e">
        <f>AND(#REF!,"AAAAAH/95Jw=")</f>
        <v>#REF!</v>
      </c>
      <c r="FB78" t="e">
        <f>AND(#REF!,"AAAAAH/95J0=")</f>
        <v>#REF!</v>
      </c>
      <c r="FC78" t="e">
        <f>AND(#REF!,"AAAAAH/95J4=")</f>
        <v>#REF!</v>
      </c>
      <c r="FD78" t="e">
        <f>AND(#REF!,"AAAAAH/95J8=")</f>
        <v>#REF!</v>
      </c>
      <c r="FE78" t="e">
        <f>AND(#REF!,"AAAAAH/95KA=")</f>
        <v>#REF!</v>
      </c>
      <c r="FF78" t="e">
        <f>AND(#REF!,"AAAAAH/95KE=")</f>
        <v>#REF!</v>
      </c>
      <c r="FG78" t="e">
        <f>AND(#REF!,"AAAAAH/95KI=")</f>
        <v>#REF!</v>
      </c>
      <c r="FH78" t="e">
        <f>AND(#REF!,"AAAAAH/95KM=")</f>
        <v>#REF!</v>
      </c>
      <c r="FI78" t="e">
        <f>AND(#REF!,"AAAAAH/95KQ=")</f>
        <v>#REF!</v>
      </c>
      <c r="FJ78" t="e">
        <f>AND(#REF!,"AAAAAH/95KU=")</f>
        <v>#REF!</v>
      </c>
      <c r="FK78" t="e">
        <f>AND(#REF!,"AAAAAH/95KY=")</f>
        <v>#REF!</v>
      </c>
      <c r="FL78" t="e">
        <f>AND(#REF!,"AAAAAH/95Kc=")</f>
        <v>#REF!</v>
      </c>
      <c r="FM78" t="e">
        <f>AND(#REF!,"AAAAAH/95Kg=")</f>
        <v>#REF!</v>
      </c>
      <c r="FN78" t="e">
        <f>AND(#REF!,"AAAAAH/95Kk=")</f>
        <v>#REF!</v>
      </c>
      <c r="FO78" t="e">
        <f>AND(#REF!,"AAAAAH/95Ko=")</f>
        <v>#REF!</v>
      </c>
      <c r="FP78" t="e">
        <f>AND(#REF!,"AAAAAH/95Ks=")</f>
        <v>#REF!</v>
      </c>
      <c r="FQ78" t="e">
        <f>AND(#REF!,"AAAAAH/95Kw=")</f>
        <v>#REF!</v>
      </c>
      <c r="FR78" t="e">
        <f>AND(#REF!,"AAAAAH/95K0=")</f>
        <v>#REF!</v>
      </c>
      <c r="FS78" t="e">
        <f>AND(#REF!,"AAAAAH/95K4=")</f>
        <v>#REF!</v>
      </c>
      <c r="FT78" t="e">
        <f>AND(#REF!,"AAAAAH/95K8=")</f>
        <v>#REF!</v>
      </c>
      <c r="FU78" t="e">
        <f>AND(#REF!,"AAAAAH/95LA=")</f>
        <v>#REF!</v>
      </c>
      <c r="FV78" t="e">
        <f>IF(#REF!,"AAAAAH/95LE=",0)</f>
        <v>#REF!</v>
      </c>
      <c r="FW78" t="e">
        <f>AND(#REF!,"AAAAAH/95LI=")</f>
        <v>#REF!</v>
      </c>
      <c r="FX78" t="e">
        <f>AND(#REF!,"AAAAAH/95LM=")</f>
        <v>#REF!</v>
      </c>
      <c r="FY78" t="e">
        <f>AND(#REF!,"AAAAAH/95LQ=")</f>
        <v>#REF!</v>
      </c>
      <c r="FZ78" t="e">
        <f>AND(#REF!,"AAAAAH/95LU=")</f>
        <v>#REF!</v>
      </c>
      <c r="GA78" t="e">
        <f>AND(#REF!,"AAAAAH/95LY=")</f>
        <v>#REF!</v>
      </c>
      <c r="GB78" t="e">
        <f>AND(#REF!,"AAAAAH/95Lc=")</f>
        <v>#REF!</v>
      </c>
      <c r="GC78" t="e">
        <f>AND(#REF!,"AAAAAH/95Lg=")</f>
        <v>#REF!</v>
      </c>
      <c r="GD78" t="e">
        <f>AND(#REF!,"AAAAAH/95Lk=")</f>
        <v>#REF!</v>
      </c>
      <c r="GE78" t="e">
        <f>AND(#REF!,"AAAAAH/95Lo=")</f>
        <v>#REF!</v>
      </c>
      <c r="GF78" t="e">
        <f>AND(#REF!,"AAAAAH/95Ls=")</f>
        <v>#REF!</v>
      </c>
      <c r="GG78" t="e">
        <f>AND(#REF!,"AAAAAH/95Lw=")</f>
        <v>#REF!</v>
      </c>
      <c r="GH78" t="e">
        <f>AND(#REF!,"AAAAAH/95L0=")</f>
        <v>#REF!</v>
      </c>
      <c r="GI78" t="e">
        <f>AND(#REF!,"AAAAAH/95L4=")</f>
        <v>#REF!</v>
      </c>
      <c r="GJ78" t="e">
        <f>AND(#REF!,"AAAAAH/95L8=")</f>
        <v>#REF!</v>
      </c>
      <c r="GK78" t="e">
        <f>AND(#REF!,"AAAAAH/95MA=")</f>
        <v>#REF!</v>
      </c>
      <c r="GL78" t="e">
        <f>AND(#REF!,"AAAAAH/95ME=")</f>
        <v>#REF!</v>
      </c>
      <c r="GM78" t="e">
        <f>AND(#REF!,"AAAAAH/95MI=")</f>
        <v>#REF!</v>
      </c>
      <c r="GN78" t="e">
        <f>AND(#REF!,"AAAAAH/95MM=")</f>
        <v>#REF!</v>
      </c>
      <c r="GO78" t="e">
        <f>AND(#REF!,"AAAAAH/95MQ=")</f>
        <v>#REF!</v>
      </c>
      <c r="GP78" t="e">
        <f>AND(#REF!,"AAAAAH/95MU=")</f>
        <v>#REF!</v>
      </c>
      <c r="GQ78" t="e">
        <f>AND(#REF!,"AAAAAH/95MY=")</f>
        <v>#REF!</v>
      </c>
      <c r="GR78" t="e">
        <f>AND(#REF!,"AAAAAH/95Mc=")</f>
        <v>#REF!</v>
      </c>
      <c r="GS78" t="e">
        <f>AND(#REF!,"AAAAAH/95Mg=")</f>
        <v>#REF!</v>
      </c>
      <c r="GT78" t="e">
        <f>AND(#REF!,"AAAAAH/95Mk=")</f>
        <v>#REF!</v>
      </c>
      <c r="GU78" t="e">
        <f>AND(#REF!,"AAAAAH/95Mo=")</f>
        <v>#REF!</v>
      </c>
      <c r="GV78" t="e">
        <f>AND(#REF!,"AAAAAH/95Ms=")</f>
        <v>#REF!</v>
      </c>
      <c r="GW78" t="e">
        <f>AND(#REF!,"AAAAAH/95Mw=")</f>
        <v>#REF!</v>
      </c>
      <c r="GX78" t="e">
        <f>AND(#REF!,"AAAAAH/95M0=")</f>
        <v>#REF!</v>
      </c>
      <c r="GY78" t="e">
        <f>AND(#REF!,"AAAAAH/95M4=")</f>
        <v>#REF!</v>
      </c>
      <c r="GZ78" t="e">
        <f>AND(#REF!,"AAAAAH/95M8=")</f>
        <v>#REF!</v>
      </c>
      <c r="HA78" t="e">
        <f>AND(#REF!,"AAAAAH/95NA=")</f>
        <v>#REF!</v>
      </c>
      <c r="HB78" t="e">
        <f>AND(#REF!,"AAAAAH/95NE=")</f>
        <v>#REF!</v>
      </c>
      <c r="HC78" t="e">
        <f>AND(#REF!,"AAAAAH/95NI=")</f>
        <v>#REF!</v>
      </c>
      <c r="HD78" t="e">
        <f>AND(#REF!,"AAAAAH/95NM=")</f>
        <v>#REF!</v>
      </c>
      <c r="HE78" t="e">
        <f>AND(#REF!,"AAAAAH/95NQ=")</f>
        <v>#REF!</v>
      </c>
      <c r="HF78" t="e">
        <f>AND(#REF!,"AAAAAH/95NU=")</f>
        <v>#REF!</v>
      </c>
      <c r="HG78" t="e">
        <f>AND(#REF!,"AAAAAH/95NY=")</f>
        <v>#REF!</v>
      </c>
      <c r="HH78" t="e">
        <f>AND(#REF!,"AAAAAH/95Nc=")</f>
        <v>#REF!</v>
      </c>
      <c r="HI78" t="e">
        <f>AND(#REF!,"AAAAAH/95Ng=")</f>
        <v>#REF!</v>
      </c>
      <c r="HJ78" t="e">
        <f>AND(#REF!,"AAAAAH/95Nk=")</f>
        <v>#REF!</v>
      </c>
      <c r="HK78" t="e">
        <f>AND(#REF!,"AAAAAH/95No=")</f>
        <v>#REF!</v>
      </c>
      <c r="HL78" t="e">
        <f>AND(#REF!,"AAAAAH/95Ns=")</f>
        <v>#REF!</v>
      </c>
      <c r="HM78" t="e">
        <f>AND(#REF!,"AAAAAH/95Nw=")</f>
        <v>#REF!</v>
      </c>
      <c r="HN78" t="e">
        <f>AND(#REF!,"AAAAAH/95N0=")</f>
        <v>#REF!</v>
      </c>
      <c r="HO78" t="e">
        <f>AND(#REF!,"AAAAAH/95N4=")</f>
        <v>#REF!</v>
      </c>
      <c r="HP78" t="e">
        <f>AND(#REF!,"AAAAAH/95N8=")</f>
        <v>#REF!</v>
      </c>
      <c r="HQ78" t="e">
        <f>AND(#REF!,"AAAAAH/95OA=")</f>
        <v>#REF!</v>
      </c>
      <c r="HR78" t="e">
        <f>AND(#REF!,"AAAAAH/95OE=")</f>
        <v>#REF!</v>
      </c>
      <c r="HS78" t="e">
        <f>AND(#REF!,"AAAAAH/95OI=")</f>
        <v>#REF!</v>
      </c>
      <c r="HT78" t="e">
        <f>AND(#REF!,"AAAAAH/95OM=")</f>
        <v>#REF!</v>
      </c>
      <c r="HU78" t="e">
        <f>AND(#REF!,"AAAAAH/95OQ=")</f>
        <v>#REF!</v>
      </c>
      <c r="HV78" t="e">
        <f>AND(#REF!,"AAAAAH/95OU=")</f>
        <v>#REF!</v>
      </c>
      <c r="HW78" t="e">
        <f>AND(#REF!,"AAAAAH/95OY=")</f>
        <v>#REF!</v>
      </c>
      <c r="HX78" t="e">
        <f>AND(#REF!,"AAAAAH/95Oc=")</f>
        <v>#REF!</v>
      </c>
      <c r="HY78" t="e">
        <f>IF(#REF!,"AAAAAH/95Og=",0)</f>
        <v>#REF!</v>
      </c>
      <c r="HZ78" t="e">
        <f>AND(#REF!,"AAAAAH/95Ok=")</f>
        <v>#REF!</v>
      </c>
      <c r="IA78" t="e">
        <f>AND(#REF!,"AAAAAH/95Oo=")</f>
        <v>#REF!</v>
      </c>
      <c r="IB78" t="e">
        <f>AND(#REF!,"AAAAAH/95Os=")</f>
        <v>#REF!</v>
      </c>
      <c r="IC78" t="e">
        <f>AND(#REF!,"AAAAAH/95Ow=")</f>
        <v>#REF!</v>
      </c>
      <c r="ID78" t="e">
        <f>AND(#REF!,"AAAAAH/95O0=")</f>
        <v>#REF!</v>
      </c>
      <c r="IE78" t="e">
        <f>AND(#REF!,"AAAAAH/95O4=")</f>
        <v>#REF!</v>
      </c>
      <c r="IF78" t="e">
        <f>AND(#REF!,"AAAAAH/95O8=")</f>
        <v>#REF!</v>
      </c>
      <c r="IG78" t="e">
        <f>AND(#REF!,"AAAAAH/95PA=")</f>
        <v>#REF!</v>
      </c>
      <c r="IH78" t="e">
        <f>AND(#REF!,"AAAAAH/95PE=")</f>
        <v>#REF!</v>
      </c>
      <c r="II78" t="e">
        <f>AND(#REF!,"AAAAAH/95PI=")</f>
        <v>#REF!</v>
      </c>
      <c r="IJ78" t="e">
        <f>AND(#REF!,"AAAAAH/95PM=")</f>
        <v>#REF!</v>
      </c>
      <c r="IK78" t="e">
        <f>AND(#REF!,"AAAAAH/95PQ=")</f>
        <v>#REF!</v>
      </c>
      <c r="IL78" t="e">
        <f>AND(#REF!,"AAAAAH/95PU=")</f>
        <v>#REF!</v>
      </c>
      <c r="IM78" t="e">
        <f>AND(#REF!,"AAAAAH/95PY=")</f>
        <v>#REF!</v>
      </c>
      <c r="IN78" t="e">
        <f>AND(#REF!,"AAAAAH/95Pc=")</f>
        <v>#REF!</v>
      </c>
      <c r="IO78" t="e">
        <f>AND(#REF!,"AAAAAH/95Pg=")</f>
        <v>#REF!</v>
      </c>
      <c r="IP78" t="e">
        <f>AND(#REF!,"AAAAAH/95Pk=")</f>
        <v>#REF!</v>
      </c>
      <c r="IQ78" t="e">
        <f>AND(#REF!,"AAAAAH/95Po=")</f>
        <v>#REF!</v>
      </c>
      <c r="IR78" t="e">
        <f>AND(#REF!,"AAAAAH/95Ps=")</f>
        <v>#REF!</v>
      </c>
      <c r="IS78" t="e">
        <f>AND(#REF!,"AAAAAH/95Pw=")</f>
        <v>#REF!</v>
      </c>
      <c r="IT78" t="e">
        <f>AND(#REF!,"AAAAAH/95P0=")</f>
        <v>#REF!</v>
      </c>
      <c r="IU78" t="e">
        <f>AND(#REF!,"AAAAAH/95P4=")</f>
        <v>#REF!</v>
      </c>
      <c r="IV78" t="e">
        <f>AND(#REF!,"AAAAAH/95P8=")</f>
        <v>#REF!</v>
      </c>
    </row>
    <row r="79" spans="1:256" x14ac:dyDescent="0.25">
      <c r="A79" t="e">
        <f>AND(#REF!,"AAAAAFF/rwA=")</f>
        <v>#REF!</v>
      </c>
      <c r="B79" t="e">
        <f>AND(#REF!,"AAAAAFF/rwE=")</f>
        <v>#REF!</v>
      </c>
      <c r="C79" t="e">
        <f>AND(#REF!,"AAAAAFF/rwI=")</f>
        <v>#REF!</v>
      </c>
      <c r="D79" t="e">
        <f>AND(#REF!,"AAAAAFF/rwM=")</f>
        <v>#REF!</v>
      </c>
      <c r="E79" t="e">
        <f>AND(#REF!,"AAAAAFF/rwQ=")</f>
        <v>#REF!</v>
      </c>
      <c r="F79" t="e">
        <f>AND(#REF!,"AAAAAFF/rwU=")</f>
        <v>#REF!</v>
      </c>
      <c r="G79" t="e">
        <f>AND(#REF!,"AAAAAFF/rwY=")</f>
        <v>#REF!</v>
      </c>
      <c r="H79" t="e">
        <f>AND(#REF!,"AAAAAFF/rwc=")</f>
        <v>#REF!</v>
      </c>
      <c r="I79" t="e">
        <f>AND(#REF!,"AAAAAFF/rwg=")</f>
        <v>#REF!</v>
      </c>
      <c r="J79" t="e">
        <f>AND(#REF!,"AAAAAFF/rwk=")</f>
        <v>#REF!</v>
      </c>
      <c r="K79" t="e">
        <f>AND(#REF!,"AAAAAFF/rwo=")</f>
        <v>#REF!</v>
      </c>
      <c r="L79" t="e">
        <f>AND(#REF!,"AAAAAFF/rws=")</f>
        <v>#REF!</v>
      </c>
      <c r="M79" t="e">
        <f>AND(#REF!,"AAAAAFF/rww=")</f>
        <v>#REF!</v>
      </c>
      <c r="N79" t="e">
        <f>AND(#REF!,"AAAAAFF/rw0=")</f>
        <v>#REF!</v>
      </c>
      <c r="O79" t="e">
        <f>AND(#REF!,"AAAAAFF/rw4=")</f>
        <v>#REF!</v>
      </c>
      <c r="P79" t="e">
        <f>AND(#REF!,"AAAAAFF/rw8=")</f>
        <v>#REF!</v>
      </c>
      <c r="Q79" t="e">
        <f>AND(#REF!,"AAAAAFF/rxA=")</f>
        <v>#REF!</v>
      </c>
      <c r="R79" t="e">
        <f>AND(#REF!,"AAAAAFF/rxE=")</f>
        <v>#REF!</v>
      </c>
      <c r="S79" t="e">
        <f>AND(#REF!,"AAAAAFF/rxI=")</f>
        <v>#REF!</v>
      </c>
      <c r="T79" t="e">
        <f>AND(#REF!,"AAAAAFF/rxM=")</f>
        <v>#REF!</v>
      </c>
      <c r="U79" t="e">
        <f>AND(#REF!,"AAAAAFF/rxQ=")</f>
        <v>#REF!</v>
      </c>
      <c r="V79" t="e">
        <f>AND(#REF!,"AAAAAFF/rxU=")</f>
        <v>#REF!</v>
      </c>
      <c r="W79" t="e">
        <f>AND(#REF!,"AAAAAFF/rxY=")</f>
        <v>#REF!</v>
      </c>
      <c r="X79" t="e">
        <f>AND(#REF!,"AAAAAFF/rxc=")</f>
        <v>#REF!</v>
      </c>
      <c r="Y79" t="e">
        <f>AND(#REF!,"AAAAAFF/rxg=")</f>
        <v>#REF!</v>
      </c>
      <c r="Z79" t="e">
        <f>AND(#REF!,"AAAAAFF/rxk=")</f>
        <v>#REF!</v>
      </c>
      <c r="AA79" t="e">
        <f>AND(#REF!,"AAAAAFF/rxo=")</f>
        <v>#REF!</v>
      </c>
      <c r="AB79" t="e">
        <f>AND(#REF!,"AAAAAFF/rxs=")</f>
        <v>#REF!</v>
      </c>
      <c r="AC79" t="e">
        <f>AND(#REF!,"AAAAAFF/rxw=")</f>
        <v>#REF!</v>
      </c>
      <c r="AD79" t="e">
        <f>AND(#REF!,"AAAAAFF/rx0=")</f>
        <v>#REF!</v>
      </c>
      <c r="AE79" t="e">
        <f>AND(#REF!,"AAAAAFF/rx4=")</f>
        <v>#REF!</v>
      </c>
      <c r="AF79" t="e">
        <f>IF(#REF!,"AAAAAFF/rx8=",0)</f>
        <v>#REF!</v>
      </c>
      <c r="AG79" t="e">
        <f>AND(#REF!,"AAAAAFF/ryA=")</f>
        <v>#REF!</v>
      </c>
      <c r="AH79" t="e">
        <f>AND(#REF!,"AAAAAFF/ryE=")</f>
        <v>#REF!</v>
      </c>
      <c r="AI79" t="e">
        <f>AND(#REF!,"AAAAAFF/ryI=")</f>
        <v>#REF!</v>
      </c>
      <c r="AJ79" t="e">
        <f>AND(#REF!,"AAAAAFF/ryM=")</f>
        <v>#REF!</v>
      </c>
      <c r="AK79" t="e">
        <f>AND(#REF!,"AAAAAFF/ryQ=")</f>
        <v>#REF!</v>
      </c>
      <c r="AL79" t="e">
        <f>AND(#REF!,"AAAAAFF/ryU=")</f>
        <v>#REF!</v>
      </c>
      <c r="AM79" t="e">
        <f>AND(#REF!,"AAAAAFF/ryY=")</f>
        <v>#REF!</v>
      </c>
      <c r="AN79" t="e">
        <f>AND(#REF!,"AAAAAFF/ryc=")</f>
        <v>#REF!</v>
      </c>
      <c r="AO79" t="e">
        <f>AND(#REF!,"AAAAAFF/ryg=")</f>
        <v>#REF!</v>
      </c>
      <c r="AP79" t="e">
        <f>AND(#REF!,"AAAAAFF/ryk=")</f>
        <v>#REF!</v>
      </c>
      <c r="AQ79" t="e">
        <f>AND(#REF!,"AAAAAFF/ryo=")</f>
        <v>#REF!</v>
      </c>
      <c r="AR79" t="e">
        <f>AND(#REF!,"AAAAAFF/rys=")</f>
        <v>#REF!</v>
      </c>
      <c r="AS79" t="e">
        <f>AND(#REF!,"AAAAAFF/ryw=")</f>
        <v>#REF!</v>
      </c>
      <c r="AT79" t="e">
        <f>AND(#REF!,"AAAAAFF/ry0=")</f>
        <v>#REF!</v>
      </c>
      <c r="AU79" t="e">
        <f>AND(#REF!,"AAAAAFF/ry4=")</f>
        <v>#REF!</v>
      </c>
      <c r="AV79" t="e">
        <f>AND(#REF!,"AAAAAFF/ry8=")</f>
        <v>#REF!</v>
      </c>
      <c r="AW79" t="e">
        <f>AND(#REF!,"AAAAAFF/rzA=")</f>
        <v>#REF!</v>
      </c>
      <c r="AX79" t="e">
        <f>AND(#REF!,"AAAAAFF/rzE=")</f>
        <v>#REF!</v>
      </c>
      <c r="AY79" t="e">
        <f>AND(#REF!,"AAAAAFF/rzI=")</f>
        <v>#REF!</v>
      </c>
      <c r="AZ79" t="e">
        <f>AND(#REF!,"AAAAAFF/rzM=")</f>
        <v>#REF!</v>
      </c>
      <c r="BA79" t="e">
        <f>AND(#REF!,"AAAAAFF/rzQ=")</f>
        <v>#REF!</v>
      </c>
      <c r="BB79" t="e">
        <f>AND(#REF!,"AAAAAFF/rzU=")</f>
        <v>#REF!</v>
      </c>
      <c r="BC79" t="e">
        <f>AND(#REF!,"AAAAAFF/rzY=")</f>
        <v>#REF!</v>
      </c>
      <c r="BD79" t="e">
        <f>AND(#REF!,"AAAAAFF/rzc=")</f>
        <v>#REF!</v>
      </c>
      <c r="BE79" t="e">
        <f>AND(#REF!,"AAAAAFF/rzg=")</f>
        <v>#REF!</v>
      </c>
      <c r="BF79" t="e">
        <f>AND(#REF!,"AAAAAFF/rzk=")</f>
        <v>#REF!</v>
      </c>
      <c r="BG79" t="e">
        <f>AND(#REF!,"AAAAAFF/rzo=")</f>
        <v>#REF!</v>
      </c>
      <c r="BH79" t="e">
        <f>AND(#REF!,"AAAAAFF/rzs=")</f>
        <v>#REF!</v>
      </c>
      <c r="BI79" t="e">
        <f>AND(#REF!,"AAAAAFF/rzw=")</f>
        <v>#REF!</v>
      </c>
      <c r="BJ79" t="e">
        <f>AND(#REF!,"AAAAAFF/rz0=")</f>
        <v>#REF!</v>
      </c>
      <c r="BK79" t="e">
        <f>AND(#REF!,"AAAAAFF/rz4=")</f>
        <v>#REF!</v>
      </c>
      <c r="BL79" t="e">
        <f>AND(#REF!,"AAAAAFF/rz8=")</f>
        <v>#REF!</v>
      </c>
      <c r="BM79" t="e">
        <f>AND(#REF!,"AAAAAFF/r0A=")</f>
        <v>#REF!</v>
      </c>
      <c r="BN79" t="e">
        <f>AND(#REF!,"AAAAAFF/r0E=")</f>
        <v>#REF!</v>
      </c>
      <c r="BO79" t="e">
        <f>AND(#REF!,"AAAAAFF/r0I=")</f>
        <v>#REF!</v>
      </c>
      <c r="BP79" t="e">
        <f>AND(#REF!,"AAAAAFF/r0M=")</f>
        <v>#REF!</v>
      </c>
      <c r="BQ79" t="e">
        <f>AND(#REF!,"AAAAAFF/r0Q=")</f>
        <v>#REF!</v>
      </c>
      <c r="BR79" t="e">
        <f>AND(#REF!,"AAAAAFF/r0U=")</f>
        <v>#REF!</v>
      </c>
      <c r="BS79" t="e">
        <f>AND(#REF!,"AAAAAFF/r0Y=")</f>
        <v>#REF!</v>
      </c>
      <c r="BT79" t="e">
        <f>AND(#REF!,"AAAAAFF/r0c=")</f>
        <v>#REF!</v>
      </c>
      <c r="BU79" t="e">
        <f>AND(#REF!,"AAAAAFF/r0g=")</f>
        <v>#REF!</v>
      </c>
      <c r="BV79" t="e">
        <f>AND(#REF!,"AAAAAFF/r0k=")</f>
        <v>#REF!</v>
      </c>
      <c r="BW79" t="e">
        <f>AND(#REF!,"AAAAAFF/r0o=")</f>
        <v>#REF!</v>
      </c>
      <c r="BX79" t="e">
        <f>AND(#REF!,"AAAAAFF/r0s=")</f>
        <v>#REF!</v>
      </c>
      <c r="BY79" t="e">
        <f>AND(#REF!,"AAAAAFF/r0w=")</f>
        <v>#REF!</v>
      </c>
      <c r="BZ79" t="e">
        <f>AND(#REF!,"AAAAAFF/r00=")</f>
        <v>#REF!</v>
      </c>
      <c r="CA79" t="e">
        <f>AND(#REF!,"AAAAAFF/r04=")</f>
        <v>#REF!</v>
      </c>
      <c r="CB79" t="e">
        <f>AND(#REF!,"AAAAAFF/r08=")</f>
        <v>#REF!</v>
      </c>
      <c r="CC79" t="e">
        <f>AND(#REF!,"AAAAAFF/r1A=")</f>
        <v>#REF!</v>
      </c>
      <c r="CD79" t="e">
        <f>AND(#REF!,"AAAAAFF/r1E=")</f>
        <v>#REF!</v>
      </c>
      <c r="CE79" t="e">
        <f>AND(#REF!,"AAAAAFF/r1I=")</f>
        <v>#REF!</v>
      </c>
      <c r="CF79" t="e">
        <f>AND(#REF!,"AAAAAFF/r1M=")</f>
        <v>#REF!</v>
      </c>
      <c r="CG79" t="e">
        <f>AND(#REF!,"AAAAAFF/r1Q=")</f>
        <v>#REF!</v>
      </c>
      <c r="CH79" t="e">
        <f>AND(#REF!,"AAAAAFF/r1U=")</f>
        <v>#REF!</v>
      </c>
      <c r="CI79" t="e">
        <f>IF(#REF!,"AAAAAFF/r1Y=",0)</f>
        <v>#REF!</v>
      </c>
      <c r="CJ79" t="e">
        <f>AND(#REF!,"AAAAAFF/r1c=")</f>
        <v>#REF!</v>
      </c>
      <c r="CK79" t="e">
        <f>AND(#REF!,"AAAAAFF/r1g=")</f>
        <v>#REF!</v>
      </c>
      <c r="CL79" t="e">
        <f>AND(#REF!,"AAAAAFF/r1k=")</f>
        <v>#REF!</v>
      </c>
      <c r="CM79" t="e">
        <f>AND(#REF!,"AAAAAFF/r1o=")</f>
        <v>#REF!</v>
      </c>
      <c r="CN79" t="e">
        <f>AND(#REF!,"AAAAAFF/r1s=")</f>
        <v>#REF!</v>
      </c>
      <c r="CO79" t="e">
        <f>AND(#REF!,"AAAAAFF/r1w=")</f>
        <v>#REF!</v>
      </c>
      <c r="CP79" t="e">
        <f>AND(#REF!,"AAAAAFF/r10=")</f>
        <v>#REF!</v>
      </c>
      <c r="CQ79" t="e">
        <f>AND(#REF!,"AAAAAFF/r14=")</f>
        <v>#REF!</v>
      </c>
      <c r="CR79" t="e">
        <f>AND(#REF!,"AAAAAFF/r18=")</f>
        <v>#REF!</v>
      </c>
      <c r="CS79" t="e">
        <f>AND(#REF!,"AAAAAFF/r2A=")</f>
        <v>#REF!</v>
      </c>
      <c r="CT79" t="e">
        <f>AND(#REF!,"AAAAAFF/r2E=")</f>
        <v>#REF!</v>
      </c>
      <c r="CU79" t="e">
        <f>AND(#REF!,"AAAAAFF/r2I=")</f>
        <v>#REF!</v>
      </c>
      <c r="CV79" t="e">
        <f>AND(#REF!,"AAAAAFF/r2M=")</f>
        <v>#REF!</v>
      </c>
      <c r="CW79" t="e">
        <f>AND(#REF!,"AAAAAFF/r2Q=")</f>
        <v>#REF!</v>
      </c>
      <c r="CX79" t="e">
        <f>AND(#REF!,"AAAAAFF/r2U=")</f>
        <v>#REF!</v>
      </c>
      <c r="CY79" t="e">
        <f>AND(#REF!,"AAAAAFF/r2Y=")</f>
        <v>#REF!</v>
      </c>
      <c r="CZ79" t="e">
        <f>AND(#REF!,"AAAAAFF/r2c=")</f>
        <v>#REF!</v>
      </c>
      <c r="DA79" t="e">
        <f>AND(#REF!,"AAAAAFF/r2g=")</f>
        <v>#REF!</v>
      </c>
      <c r="DB79" t="e">
        <f>AND(#REF!,"AAAAAFF/r2k=")</f>
        <v>#REF!</v>
      </c>
      <c r="DC79" t="e">
        <f>AND(#REF!,"AAAAAFF/r2o=")</f>
        <v>#REF!</v>
      </c>
      <c r="DD79" t="e">
        <f>AND(#REF!,"AAAAAFF/r2s=")</f>
        <v>#REF!</v>
      </c>
      <c r="DE79" t="e">
        <f>AND(#REF!,"AAAAAFF/r2w=")</f>
        <v>#REF!</v>
      </c>
      <c r="DF79" t="e">
        <f>AND(#REF!,"AAAAAFF/r20=")</f>
        <v>#REF!</v>
      </c>
      <c r="DG79" t="e">
        <f>AND(#REF!,"AAAAAFF/r24=")</f>
        <v>#REF!</v>
      </c>
      <c r="DH79" t="e">
        <f>AND(#REF!,"AAAAAFF/r28=")</f>
        <v>#REF!</v>
      </c>
      <c r="DI79" t="e">
        <f>AND(#REF!,"AAAAAFF/r3A=")</f>
        <v>#REF!</v>
      </c>
      <c r="DJ79" t="e">
        <f>AND(#REF!,"AAAAAFF/r3E=")</f>
        <v>#REF!</v>
      </c>
      <c r="DK79" t="e">
        <f>AND(#REF!,"AAAAAFF/r3I=")</f>
        <v>#REF!</v>
      </c>
      <c r="DL79" t="e">
        <f>AND(#REF!,"AAAAAFF/r3M=")</f>
        <v>#REF!</v>
      </c>
      <c r="DM79" t="e">
        <f>AND(#REF!,"AAAAAFF/r3Q=")</f>
        <v>#REF!</v>
      </c>
      <c r="DN79" t="e">
        <f>AND(#REF!,"AAAAAFF/r3U=")</f>
        <v>#REF!</v>
      </c>
      <c r="DO79" t="e">
        <f>AND(#REF!,"AAAAAFF/r3Y=")</f>
        <v>#REF!</v>
      </c>
      <c r="DP79" t="e">
        <f>AND(#REF!,"AAAAAFF/r3c=")</f>
        <v>#REF!</v>
      </c>
      <c r="DQ79" t="e">
        <f>AND(#REF!,"AAAAAFF/r3g=")</f>
        <v>#REF!</v>
      </c>
      <c r="DR79" t="e">
        <f>AND(#REF!,"AAAAAFF/r3k=")</f>
        <v>#REF!</v>
      </c>
      <c r="DS79" t="e">
        <f>AND(#REF!,"AAAAAFF/r3o=")</f>
        <v>#REF!</v>
      </c>
      <c r="DT79" t="e">
        <f>AND(#REF!,"AAAAAFF/r3s=")</f>
        <v>#REF!</v>
      </c>
      <c r="DU79" t="e">
        <f>AND(#REF!,"AAAAAFF/r3w=")</f>
        <v>#REF!</v>
      </c>
      <c r="DV79" t="e">
        <f>AND(#REF!,"AAAAAFF/r30=")</f>
        <v>#REF!</v>
      </c>
      <c r="DW79" t="e">
        <f>AND(#REF!,"AAAAAFF/r34=")</f>
        <v>#REF!</v>
      </c>
      <c r="DX79" t="e">
        <f>AND(#REF!,"AAAAAFF/r38=")</f>
        <v>#REF!</v>
      </c>
      <c r="DY79" t="e">
        <f>AND(#REF!,"AAAAAFF/r4A=")</f>
        <v>#REF!</v>
      </c>
      <c r="DZ79" t="e">
        <f>AND(#REF!,"AAAAAFF/r4E=")</f>
        <v>#REF!</v>
      </c>
      <c r="EA79" t="e">
        <f>AND(#REF!,"AAAAAFF/r4I=")</f>
        <v>#REF!</v>
      </c>
      <c r="EB79" t="e">
        <f>AND(#REF!,"AAAAAFF/r4M=")</f>
        <v>#REF!</v>
      </c>
      <c r="EC79" t="e">
        <f>AND(#REF!,"AAAAAFF/r4Q=")</f>
        <v>#REF!</v>
      </c>
      <c r="ED79" t="e">
        <f>AND(#REF!,"AAAAAFF/r4U=")</f>
        <v>#REF!</v>
      </c>
      <c r="EE79" t="e">
        <f>AND(#REF!,"AAAAAFF/r4Y=")</f>
        <v>#REF!</v>
      </c>
      <c r="EF79" t="e">
        <f>AND(#REF!,"AAAAAFF/r4c=")</f>
        <v>#REF!</v>
      </c>
      <c r="EG79" t="e">
        <f>AND(#REF!,"AAAAAFF/r4g=")</f>
        <v>#REF!</v>
      </c>
      <c r="EH79" t="e">
        <f>AND(#REF!,"AAAAAFF/r4k=")</f>
        <v>#REF!</v>
      </c>
      <c r="EI79" t="e">
        <f>AND(#REF!,"AAAAAFF/r4o=")</f>
        <v>#REF!</v>
      </c>
      <c r="EJ79" t="e">
        <f>AND(#REF!,"AAAAAFF/r4s=")</f>
        <v>#REF!</v>
      </c>
      <c r="EK79" t="e">
        <f>AND(#REF!,"AAAAAFF/r4w=")</f>
        <v>#REF!</v>
      </c>
      <c r="EL79" t="e">
        <f>IF(#REF!,"AAAAAFF/r40=",0)</f>
        <v>#REF!</v>
      </c>
      <c r="EM79" t="e">
        <f>AND(#REF!,"AAAAAFF/r44=")</f>
        <v>#REF!</v>
      </c>
      <c r="EN79" t="e">
        <f>AND(#REF!,"AAAAAFF/r48=")</f>
        <v>#REF!</v>
      </c>
      <c r="EO79" t="e">
        <f>AND(#REF!,"AAAAAFF/r5A=")</f>
        <v>#REF!</v>
      </c>
      <c r="EP79" t="e">
        <f>AND(#REF!,"AAAAAFF/r5E=")</f>
        <v>#REF!</v>
      </c>
      <c r="EQ79" t="e">
        <f>AND(#REF!,"AAAAAFF/r5I=")</f>
        <v>#REF!</v>
      </c>
      <c r="ER79" t="e">
        <f>AND(#REF!,"AAAAAFF/r5M=")</f>
        <v>#REF!</v>
      </c>
      <c r="ES79" t="e">
        <f>AND(#REF!,"AAAAAFF/r5Q=")</f>
        <v>#REF!</v>
      </c>
      <c r="ET79" t="e">
        <f>AND(#REF!,"AAAAAFF/r5U=")</f>
        <v>#REF!</v>
      </c>
      <c r="EU79" t="e">
        <f>AND(#REF!,"AAAAAFF/r5Y=")</f>
        <v>#REF!</v>
      </c>
      <c r="EV79" t="e">
        <f>AND(#REF!,"AAAAAFF/r5c=")</f>
        <v>#REF!</v>
      </c>
      <c r="EW79" t="e">
        <f>AND(#REF!,"AAAAAFF/r5g=")</f>
        <v>#REF!</v>
      </c>
      <c r="EX79" t="e">
        <f>AND(#REF!,"AAAAAFF/r5k=")</f>
        <v>#REF!</v>
      </c>
      <c r="EY79" t="e">
        <f>AND(#REF!,"AAAAAFF/r5o=")</f>
        <v>#REF!</v>
      </c>
      <c r="EZ79" t="e">
        <f>AND(#REF!,"AAAAAFF/r5s=")</f>
        <v>#REF!</v>
      </c>
      <c r="FA79" t="e">
        <f>AND(#REF!,"AAAAAFF/r5w=")</f>
        <v>#REF!</v>
      </c>
      <c r="FB79" t="e">
        <f>AND(#REF!,"AAAAAFF/r50=")</f>
        <v>#REF!</v>
      </c>
      <c r="FC79" t="e">
        <f>AND(#REF!,"AAAAAFF/r54=")</f>
        <v>#REF!</v>
      </c>
      <c r="FD79" t="e">
        <f>AND(#REF!,"AAAAAFF/r58=")</f>
        <v>#REF!</v>
      </c>
      <c r="FE79" t="e">
        <f>AND(#REF!,"AAAAAFF/r6A=")</f>
        <v>#REF!</v>
      </c>
      <c r="FF79" t="e">
        <f>AND(#REF!,"AAAAAFF/r6E=")</f>
        <v>#REF!</v>
      </c>
      <c r="FG79" t="e">
        <f>AND(#REF!,"AAAAAFF/r6I=")</f>
        <v>#REF!</v>
      </c>
      <c r="FH79" t="e">
        <f>AND(#REF!,"AAAAAFF/r6M=")</f>
        <v>#REF!</v>
      </c>
      <c r="FI79" t="e">
        <f>AND(#REF!,"AAAAAFF/r6Q=")</f>
        <v>#REF!</v>
      </c>
      <c r="FJ79" t="e">
        <f>AND(#REF!,"AAAAAFF/r6U=")</f>
        <v>#REF!</v>
      </c>
      <c r="FK79" t="e">
        <f>AND(#REF!,"AAAAAFF/r6Y=")</f>
        <v>#REF!</v>
      </c>
      <c r="FL79" t="e">
        <f>AND(#REF!,"AAAAAFF/r6c=")</f>
        <v>#REF!</v>
      </c>
      <c r="FM79" t="e">
        <f>AND(#REF!,"AAAAAFF/r6g=")</f>
        <v>#REF!</v>
      </c>
      <c r="FN79" t="e">
        <f>AND(#REF!,"AAAAAFF/r6k=")</f>
        <v>#REF!</v>
      </c>
      <c r="FO79" t="e">
        <f>AND(#REF!,"AAAAAFF/r6o=")</f>
        <v>#REF!</v>
      </c>
      <c r="FP79" t="e">
        <f>AND(#REF!,"AAAAAFF/r6s=")</f>
        <v>#REF!</v>
      </c>
      <c r="FQ79" t="e">
        <f>AND(#REF!,"AAAAAFF/r6w=")</f>
        <v>#REF!</v>
      </c>
      <c r="FR79" t="e">
        <f>AND(#REF!,"AAAAAFF/r60=")</f>
        <v>#REF!</v>
      </c>
      <c r="FS79" t="e">
        <f>AND(#REF!,"AAAAAFF/r64=")</f>
        <v>#REF!</v>
      </c>
      <c r="FT79" t="e">
        <f>AND(#REF!,"AAAAAFF/r68=")</f>
        <v>#REF!</v>
      </c>
      <c r="FU79" t="e">
        <f>AND(#REF!,"AAAAAFF/r7A=")</f>
        <v>#REF!</v>
      </c>
      <c r="FV79" t="e">
        <f>AND(#REF!,"AAAAAFF/r7E=")</f>
        <v>#REF!</v>
      </c>
      <c r="FW79" t="e">
        <f>AND(#REF!,"AAAAAFF/r7I=")</f>
        <v>#REF!</v>
      </c>
      <c r="FX79" t="e">
        <f>AND(#REF!,"AAAAAFF/r7M=")</f>
        <v>#REF!</v>
      </c>
      <c r="FY79" t="e">
        <f>AND(#REF!,"AAAAAFF/r7Q=")</f>
        <v>#REF!</v>
      </c>
      <c r="FZ79" t="e">
        <f>AND(#REF!,"AAAAAFF/r7U=")</f>
        <v>#REF!</v>
      </c>
      <c r="GA79" t="e">
        <f>AND(#REF!,"AAAAAFF/r7Y=")</f>
        <v>#REF!</v>
      </c>
      <c r="GB79" t="e">
        <f>AND(#REF!,"AAAAAFF/r7c=")</f>
        <v>#REF!</v>
      </c>
      <c r="GC79" t="e">
        <f>AND(#REF!,"AAAAAFF/r7g=")</f>
        <v>#REF!</v>
      </c>
      <c r="GD79" t="e">
        <f>AND(#REF!,"AAAAAFF/r7k=")</f>
        <v>#REF!</v>
      </c>
      <c r="GE79" t="e">
        <f>AND(#REF!,"AAAAAFF/r7o=")</f>
        <v>#REF!</v>
      </c>
      <c r="GF79" t="e">
        <f>AND(#REF!,"AAAAAFF/r7s=")</f>
        <v>#REF!</v>
      </c>
      <c r="GG79" t="e">
        <f>AND(#REF!,"AAAAAFF/r7w=")</f>
        <v>#REF!</v>
      </c>
      <c r="GH79" t="e">
        <f>AND(#REF!,"AAAAAFF/r70=")</f>
        <v>#REF!</v>
      </c>
      <c r="GI79" t="e">
        <f>AND(#REF!,"AAAAAFF/r74=")</f>
        <v>#REF!</v>
      </c>
      <c r="GJ79" t="e">
        <f>AND(#REF!,"AAAAAFF/r78=")</f>
        <v>#REF!</v>
      </c>
      <c r="GK79" t="e">
        <f>AND(#REF!,"AAAAAFF/r8A=")</f>
        <v>#REF!</v>
      </c>
      <c r="GL79" t="e">
        <f>AND(#REF!,"AAAAAFF/r8E=")</f>
        <v>#REF!</v>
      </c>
      <c r="GM79" t="e">
        <f>AND(#REF!,"AAAAAFF/r8I=")</f>
        <v>#REF!</v>
      </c>
      <c r="GN79" t="e">
        <f>AND(#REF!,"AAAAAFF/r8M=")</f>
        <v>#REF!</v>
      </c>
      <c r="GO79" t="e">
        <f>IF(#REF!,"AAAAAFF/r8Q=",0)</f>
        <v>#REF!</v>
      </c>
      <c r="GP79" t="e">
        <f>AND(#REF!,"AAAAAFF/r8U=")</f>
        <v>#REF!</v>
      </c>
      <c r="GQ79" t="e">
        <f>AND(#REF!,"AAAAAFF/r8Y=")</f>
        <v>#REF!</v>
      </c>
      <c r="GR79" t="e">
        <f>AND(#REF!,"AAAAAFF/r8c=")</f>
        <v>#REF!</v>
      </c>
      <c r="GS79" t="e">
        <f>AND(#REF!,"AAAAAFF/r8g=")</f>
        <v>#REF!</v>
      </c>
      <c r="GT79" t="e">
        <f>AND(#REF!,"AAAAAFF/r8k=")</f>
        <v>#REF!</v>
      </c>
      <c r="GU79" t="e">
        <f>AND(#REF!,"AAAAAFF/r8o=")</f>
        <v>#REF!</v>
      </c>
      <c r="GV79" t="e">
        <f>AND(#REF!,"AAAAAFF/r8s=")</f>
        <v>#REF!</v>
      </c>
      <c r="GW79" t="e">
        <f>AND(#REF!,"AAAAAFF/r8w=")</f>
        <v>#REF!</v>
      </c>
      <c r="GX79" t="e">
        <f>AND(#REF!,"AAAAAFF/r80=")</f>
        <v>#REF!</v>
      </c>
      <c r="GY79" t="e">
        <f>AND(#REF!,"AAAAAFF/r84=")</f>
        <v>#REF!</v>
      </c>
      <c r="GZ79" t="e">
        <f>AND(#REF!,"AAAAAFF/r88=")</f>
        <v>#REF!</v>
      </c>
      <c r="HA79" t="e">
        <f>AND(#REF!,"AAAAAFF/r9A=")</f>
        <v>#REF!</v>
      </c>
      <c r="HB79" t="e">
        <f>AND(#REF!,"AAAAAFF/r9E=")</f>
        <v>#REF!</v>
      </c>
      <c r="HC79" t="e">
        <f>AND(#REF!,"AAAAAFF/r9I=")</f>
        <v>#REF!</v>
      </c>
      <c r="HD79" t="e">
        <f>AND(#REF!,"AAAAAFF/r9M=")</f>
        <v>#REF!</v>
      </c>
      <c r="HE79" t="e">
        <f>AND(#REF!,"AAAAAFF/r9Q=")</f>
        <v>#REF!</v>
      </c>
      <c r="HF79" t="e">
        <f>AND(#REF!,"AAAAAFF/r9U=")</f>
        <v>#REF!</v>
      </c>
      <c r="HG79" t="e">
        <f>AND(#REF!,"AAAAAFF/r9Y=")</f>
        <v>#REF!</v>
      </c>
      <c r="HH79" t="e">
        <f>AND(#REF!,"AAAAAFF/r9c=")</f>
        <v>#REF!</v>
      </c>
      <c r="HI79" t="e">
        <f>AND(#REF!,"AAAAAFF/r9g=")</f>
        <v>#REF!</v>
      </c>
      <c r="HJ79" t="e">
        <f>AND(#REF!,"AAAAAFF/r9k=")</f>
        <v>#REF!</v>
      </c>
      <c r="HK79" t="e">
        <f>AND(#REF!,"AAAAAFF/r9o=")</f>
        <v>#REF!</v>
      </c>
      <c r="HL79" t="e">
        <f>AND(#REF!,"AAAAAFF/r9s=")</f>
        <v>#REF!</v>
      </c>
      <c r="HM79" t="e">
        <f>AND(#REF!,"AAAAAFF/r9w=")</f>
        <v>#REF!</v>
      </c>
      <c r="HN79" t="e">
        <f>AND(#REF!,"AAAAAFF/r90=")</f>
        <v>#REF!</v>
      </c>
      <c r="HO79" t="e">
        <f>AND(#REF!,"AAAAAFF/r94=")</f>
        <v>#REF!</v>
      </c>
      <c r="HP79" t="e">
        <f>AND(#REF!,"AAAAAFF/r98=")</f>
        <v>#REF!</v>
      </c>
      <c r="HQ79" t="e">
        <f>AND(#REF!,"AAAAAFF/r+A=")</f>
        <v>#REF!</v>
      </c>
      <c r="HR79" t="e">
        <f>AND(#REF!,"AAAAAFF/r+E=")</f>
        <v>#REF!</v>
      </c>
      <c r="HS79" t="e">
        <f>AND(#REF!,"AAAAAFF/r+I=")</f>
        <v>#REF!</v>
      </c>
      <c r="HT79" t="e">
        <f>AND(#REF!,"AAAAAFF/r+M=")</f>
        <v>#REF!</v>
      </c>
      <c r="HU79" t="e">
        <f>AND(#REF!,"AAAAAFF/r+Q=")</f>
        <v>#REF!</v>
      </c>
      <c r="HV79" t="e">
        <f>AND(#REF!,"AAAAAFF/r+U=")</f>
        <v>#REF!</v>
      </c>
      <c r="HW79" t="e">
        <f>AND(#REF!,"AAAAAFF/r+Y=")</f>
        <v>#REF!</v>
      </c>
      <c r="HX79" t="e">
        <f>AND(#REF!,"AAAAAFF/r+c=")</f>
        <v>#REF!</v>
      </c>
      <c r="HY79" t="e">
        <f>AND(#REF!,"AAAAAFF/r+g=")</f>
        <v>#REF!</v>
      </c>
      <c r="HZ79" t="e">
        <f>AND(#REF!,"AAAAAFF/r+k=")</f>
        <v>#REF!</v>
      </c>
      <c r="IA79" t="e">
        <f>AND(#REF!,"AAAAAFF/r+o=")</f>
        <v>#REF!</v>
      </c>
      <c r="IB79" t="e">
        <f>AND(#REF!,"AAAAAFF/r+s=")</f>
        <v>#REF!</v>
      </c>
      <c r="IC79" t="e">
        <f>AND(#REF!,"AAAAAFF/r+w=")</f>
        <v>#REF!</v>
      </c>
      <c r="ID79" t="e">
        <f>AND(#REF!,"AAAAAFF/r+0=")</f>
        <v>#REF!</v>
      </c>
      <c r="IE79" t="e">
        <f>AND(#REF!,"AAAAAFF/r+4=")</f>
        <v>#REF!</v>
      </c>
      <c r="IF79" t="e">
        <f>AND(#REF!,"AAAAAFF/r+8=")</f>
        <v>#REF!</v>
      </c>
      <c r="IG79" t="e">
        <f>AND(#REF!,"AAAAAFF/r/A=")</f>
        <v>#REF!</v>
      </c>
      <c r="IH79" t="e">
        <f>AND(#REF!,"AAAAAFF/r/E=")</f>
        <v>#REF!</v>
      </c>
      <c r="II79" t="e">
        <f>AND(#REF!,"AAAAAFF/r/I=")</f>
        <v>#REF!</v>
      </c>
      <c r="IJ79" t="e">
        <f>AND(#REF!,"AAAAAFF/r/M=")</f>
        <v>#REF!</v>
      </c>
      <c r="IK79" t="e">
        <f>AND(#REF!,"AAAAAFF/r/Q=")</f>
        <v>#REF!</v>
      </c>
      <c r="IL79" t="e">
        <f>AND(#REF!,"AAAAAFF/r/U=")</f>
        <v>#REF!</v>
      </c>
      <c r="IM79" t="e">
        <f>AND(#REF!,"AAAAAFF/r/Y=")</f>
        <v>#REF!</v>
      </c>
      <c r="IN79" t="e">
        <f>AND(#REF!,"AAAAAFF/r/c=")</f>
        <v>#REF!</v>
      </c>
      <c r="IO79" t="e">
        <f>AND(#REF!,"AAAAAFF/r/g=")</f>
        <v>#REF!</v>
      </c>
      <c r="IP79" t="e">
        <f>AND(#REF!,"AAAAAFF/r/k=")</f>
        <v>#REF!</v>
      </c>
      <c r="IQ79" t="e">
        <f>AND(#REF!,"AAAAAFF/r/o=")</f>
        <v>#REF!</v>
      </c>
      <c r="IR79" t="e">
        <f>IF(#REF!,"AAAAAFF/r/s=",0)</f>
        <v>#REF!</v>
      </c>
      <c r="IS79" t="e">
        <f>AND(#REF!,"AAAAAFF/r/w=")</f>
        <v>#REF!</v>
      </c>
      <c r="IT79" t="e">
        <f>AND(#REF!,"AAAAAFF/r/0=")</f>
        <v>#REF!</v>
      </c>
      <c r="IU79" t="e">
        <f>AND(#REF!,"AAAAAFF/r/4=")</f>
        <v>#REF!</v>
      </c>
      <c r="IV79" t="e">
        <f>AND(#REF!,"AAAAAFF/r/8=")</f>
        <v>#REF!</v>
      </c>
    </row>
    <row r="80" spans="1:256" x14ac:dyDescent="0.25">
      <c r="A80" t="e">
        <f>AND(#REF!,"AAAAABX+vQA=")</f>
        <v>#REF!</v>
      </c>
      <c r="B80" t="e">
        <f>AND(#REF!,"AAAAABX+vQE=")</f>
        <v>#REF!</v>
      </c>
      <c r="C80" t="e">
        <f>AND(#REF!,"AAAAABX+vQI=")</f>
        <v>#REF!</v>
      </c>
      <c r="D80" t="e">
        <f>AND(#REF!,"AAAAABX+vQM=")</f>
        <v>#REF!</v>
      </c>
      <c r="E80" t="e">
        <f>AND(#REF!,"AAAAABX+vQQ=")</f>
        <v>#REF!</v>
      </c>
      <c r="F80" t="e">
        <f>AND(#REF!,"AAAAABX+vQU=")</f>
        <v>#REF!</v>
      </c>
      <c r="G80" t="e">
        <f>AND(#REF!,"AAAAABX+vQY=")</f>
        <v>#REF!</v>
      </c>
      <c r="H80" t="e">
        <f>AND(#REF!,"AAAAABX+vQc=")</f>
        <v>#REF!</v>
      </c>
      <c r="I80" t="e">
        <f>AND(#REF!,"AAAAABX+vQg=")</f>
        <v>#REF!</v>
      </c>
      <c r="J80" t="e">
        <f>AND(#REF!,"AAAAABX+vQk=")</f>
        <v>#REF!</v>
      </c>
      <c r="K80" t="e">
        <f>AND(#REF!,"AAAAABX+vQo=")</f>
        <v>#REF!</v>
      </c>
      <c r="L80" t="e">
        <f>AND(#REF!,"AAAAABX+vQs=")</f>
        <v>#REF!</v>
      </c>
      <c r="M80" t="e">
        <f>AND(#REF!,"AAAAABX+vQw=")</f>
        <v>#REF!</v>
      </c>
      <c r="N80" t="e">
        <f>AND(#REF!,"AAAAABX+vQ0=")</f>
        <v>#REF!</v>
      </c>
      <c r="O80" t="e">
        <f>AND(#REF!,"AAAAABX+vQ4=")</f>
        <v>#REF!</v>
      </c>
      <c r="P80" t="e">
        <f>AND(#REF!,"AAAAABX+vQ8=")</f>
        <v>#REF!</v>
      </c>
      <c r="Q80" t="e">
        <f>AND(#REF!,"AAAAABX+vRA=")</f>
        <v>#REF!</v>
      </c>
      <c r="R80" t="e">
        <f>AND(#REF!,"AAAAABX+vRE=")</f>
        <v>#REF!</v>
      </c>
      <c r="S80" t="e">
        <f>AND(#REF!,"AAAAABX+vRI=")</f>
        <v>#REF!</v>
      </c>
      <c r="T80" t="e">
        <f>AND(#REF!,"AAAAABX+vRM=")</f>
        <v>#REF!</v>
      </c>
      <c r="U80" t="e">
        <f>AND(#REF!,"AAAAABX+vRQ=")</f>
        <v>#REF!</v>
      </c>
      <c r="V80" t="e">
        <f>AND(#REF!,"AAAAABX+vRU=")</f>
        <v>#REF!</v>
      </c>
      <c r="W80" t="e">
        <f>AND(#REF!,"AAAAABX+vRY=")</f>
        <v>#REF!</v>
      </c>
      <c r="X80" t="e">
        <f>AND(#REF!,"AAAAABX+vRc=")</f>
        <v>#REF!</v>
      </c>
      <c r="Y80" t="e">
        <f>AND(#REF!,"AAAAABX+vRg=")</f>
        <v>#REF!</v>
      </c>
      <c r="Z80" t="e">
        <f>AND(#REF!,"AAAAABX+vRk=")</f>
        <v>#REF!</v>
      </c>
      <c r="AA80" t="e">
        <f>AND(#REF!,"AAAAABX+vRo=")</f>
        <v>#REF!</v>
      </c>
      <c r="AB80" t="e">
        <f>AND(#REF!,"AAAAABX+vRs=")</f>
        <v>#REF!</v>
      </c>
      <c r="AC80" t="e">
        <f>AND(#REF!,"AAAAABX+vRw=")</f>
        <v>#REF!</v>
      </c>
      <c r="AD80" t="e">
        <f>AND(#REF!,"AAAAABX+vR0=")</f>
        <v>#REF!</v>
      </c>
      <c r="AE80" t="e">
        <f>AND(#REF!,"AAAAABX+vR4=")</f>
        <v>#REF!</v>
      </c>
      <c r="AF80" t="e">
        <f>AND(#REF!,"AAAAABX+vR8=")</f>
        <v>#REF!</v>
      </c>
      <c r="AG80" t="e">
        <f>AND(#REF!,"AAAAABX+vSA=")</f>
        <v>#REF!</v>
      </c>
      <c r="AH80" t="e">
        <f>AND(#REF!,"AAAAABX+vSE=")</f>
        <v>#REF!</v>
      </c>
      <c r="AI80" t="e">
        <f>AND(#REF!,"AAAAABX+vSI=")</f>
        <v>#REF!</v>
      </c>
      <c r="AJ80" t="e">
        <f>AND(#REF!,"AAAAABX+vSM=")</f>
        <v>#REF!</v>
      </c>
      <c r="AK80" t="e">
        <f>AND(#REF!,"AAAAABX+vSQ=")</f>
        <v>#REF!</v>
      </c>
      <c r="AL80" t="e">
        <f>AND(#REF!,"AAAAABX+vSU=")</f>
        <v>#REF!</v>
      </c>
      <c r="AM80" t="e">
        <f>AND(#REF!,"AAAAABX+vSY=")</f>
        <v>#REF!</v>
      </c>
      <c r="AN80" t="e">
        <f>AND(#REF!,"AAAAABX+vSc=")</f>
        <v>#REF!</v>
      </c>
      <c r="AO80" t="e">
        <f>AND(#REF!,"AAAAABX+vSg=")</f>
        <v>#REF!</v>
      </c>
      <c r="AP80" t="e">
        <f>AND(#REF!,"AAAAABX+vSk=")</f>
        <v>#REF!</v>
      </c>
      <c r="AQ80" t="e">
        <f>AND(#REF!,"AAAAABX+vSo=")</f>
        <v>#REF!</v>
      </c>
      <c r="AR80" t="e">
        <f>AND(#REF!,"AAAAABX+vSs=")</f>
        <v>#REF!</v>
      </c>
      <c r="AS80" t="e">
        <f>AND(#REF!,"AAAAABX+vSw=")</f>
        <v>#REF!</v>
      </c>
      <c r="AT80" t="e">
        <f>AND(#REF!,"AAAAABX+vS0=")</f>
        <v>#REF!</v>
      </c>
      <c r="AU80" t="e">
        <f>AND(#REF!,"AAAAABX+vS4=")</f>
        <v>#REF!</v>
      </c>
      <c r="AV80" t="e">
        <f>AND(#REF!,"AAAAABX+vS8=")</f>
        <v>#REF!</v>
      </c>
      <c r="AW80" t="e">
        <f>AND(#REF!,"AAAAABX+vTA=")</f>
        <v>#REF!</v>
      </c>
      <c r="AX80" t="e">
        <f>AND(#REF!,"AAAAABX+vTE=")</f>
        <v>#REF!</v>
      </c>
      <c r="AY80" t="e">
        <f>IF(#REF!,"AAAAABX+vTI=",0)</f>
        <v>#REF!</v>
      </c>
      <c r="AZ80" t="e">
        <f>AND(#REF!,"AAAAABX+vTM=")</f>
        <v>#REF!</v>
      </c>
      <c r="BA80" t="e">
        <f>AND(#REF!,"AAAAABX+vTQ=")</f>
        <v>#REF!</v>
      </c>
      <c r="BB80" t="e">
        <f>AND(#REF!,"AAAAABX+vTU=")</f>
        <v>#REF!</v>
      </c>
      <c r="BC80" t="e">
        <f>AND(#REF!,"AAAAABX+vTY=")</f>
        <v>#REF!</v>
      </c>
      <c r="BD80" t="e">
        <f>AND(#REF!,"AAAAABX+vTc=")</f>
        <v>#REF!</v>
      </c>
      <c r="BE80" t="e">
        <f>AND(#REF!,"AAAAABX+vTg=")</f>
        <v>#REF!</v>
      </c>
      <c r="BF80" t="e">
        <f>AND(#REF!,"AAAAABX+vTk=")</f>
        <v>#REF!</v>
      </c>
      <c r="BG80" t="e">
        <f>AND(#REF!,"AAAAABX+vTo=")</f>
        <v>#REF!</v>
      </c>
      <c r="BH80" t="e">
        <f>AND(#REF!,"AAAAABX+vTs=")</f>
        <v>#REF!</v>
      </c>
      <c r="BI80" t="e">
        <f>AND(#REF!,"AAAAABX+vTw=")</f>
        <v>#REF!</v>
      </c>
      <c r="BJ80" t="e">
        <f>AND(#REF!,"AAAAABX+vT0=")</f>
        <v>#REF!</v>
      </c>
      <c r="BK80" t="e">
        <f>AND(#REF!,"AAAAABX+vT4=")</f>
        <v>#REF!</v>
      </c>
      <c r="BL80" t="e">
        <f>AND(#REF!,"AAAAABX+vT8=")</f>
        <v>#REF!</v>
      </c>
      <c r="BM80" t="e">
        <f>AND(#REF!,"AAAAABX+vUA=")</f>
        <v>#REF!</v>
      </c>
      <c r="BN80" t="e">
        <f>AND(#REF!,"AAAAABX+vUE=")</f>
        <v>#REF!</v>
      </c>
      <c r="BO80" t="e">
        <f>AND(#REF!,"AAAAABX+vUI=")</f>
        <v>#REF!</v>
      </c>
      <c r="BP80" t="e">
        <f>AND(#REF!,"AAAAABX+vUM=")</f>
        <v>#REF!</v>
      </c>
      <c r="BQ80" t="e">
        <f>AND(#REF!,"AAAAABX+vUQ=")</f>
        <v>#REF!</v>
      </c>
      <c r="BR80" t="e">
        <f>AND(#REF!,"AAAAABX+vUU=")</f>
        <v>#REF!</v>
      </c>
      <c r="BS80" t="e">
        <f>AND(#REF!,"AAAAABX+vUY=")</f>
        <v>#REF!</v>
      </c>
      <c r="BT80" t="e">
        <f>AND(#REF!,"AAAAABX+vUc=")</f>
        <v>#REF!</v>
      </c>
      <c r="BU80" t="e">
        <f>AND(#REF!,"AAAAABX+vUg=")</f>
        <v>#REF!</v>
      </c>
      <c r="BV80" t="e">
        <f>AND(#REF!,"AAAAABX+vUk=")</f>
        <v>#REF!</v>
      </c>
      <c r="BW80" t="e">
        <f>AND(#REF!,"AAAAABX+vUo=")</f>
        <v>#REF!</v>
      </c>
      <c r="BX80" t="e">
        <f>AND(#REF!,"AAAAABX+vUs=")</f>
        <v>#REF!</v>
      </c>
      <c r="BY80" t="e">
        <f>AND(#REF!,"AAAAABX+vUw=")</f>
        <v>#REF!</v>
      </c>
      <c r="BZ80" t="e">
        <f>AND(#REF!,"AAAAABX+vU0=")</f>
        <v>#REF!</v>
      </c>
      <c r="CA80" t="e">
        <f>AND(#REF!,"AAAAABX+vU4=")</f>
        <v>#REF!</v>
      </c>
      <c r="CB80" t="e">
        <f>AND(#REF!,"AAAAABX+vU8=")</f>
        <v>#REF!</v>
      </c>
      <c r="CC80" t="e">
        <f>AND(#REF!,"AAAAABX+vVA=")</f>
        <v>#REF!</v>
      </c>
      <c r="CD80" t="e">
        <f>AND(#REF!,"AAAAABX+vVE=")</f>
        <v>#REF!</v>
      </c>
      <c r="CE80" t="e">
        <f>AND(#REF!,"AAAAABX+vVI=")</f>
        <v>#REF!</v>
      </c>
      <c r="CF80" t="e">
        <f>AND(#REF!,"AAAAABX+vVM=")</f>
        <v>#REF!</v>
      </c>
      <c r="CG80" t="e">
        <f>AND(#REF!,"AAAAABX+vVQ=")</f>
        <v>#REF!</v>
      </c>
      <c r="CH80" t="e">
        <f>AND(#REF!,"AAAAABX+vVU=")</f>
        <v>#REF!</v>
      </c>
      <c r="CI80" t="e">
        <f>AND(#REF!,"AAAAABX+vVY=")</f>
        <v>#REF!</v>
      </c>
      <c r="CJ80" t="e">
        <f>AND(#REF!,"AAAAABX+vVc=")</f>
        <v>#REF!</v>
      </c>
      <c r="CK80" t="e">
        <f>AND(#REF!,"AAAAABX+vVg=")</f>
        <v>#REF!</v>
      </c>
      <c r="CL80" t="e">
        <f>AND(#REF!,"AAAAABX+vVk=")</f>
        <v>#REF!</v>
      </c>
      <c r="CM80" t="e">
        <f>AND(#REF!,"AAAAABX+vVo=")</f>
        <v>#REF!</v>
      </c>
      <c r="CN80" t="e">
        <f>AND(#REF!,"AAAAABX+vVs=")</f>
        <v>#REF!</v>
      </c>
      <c r="CO80" t="e">
        <f>AND(#REF!,"AAAAABX+vVw=")</f>
        <v>#REF!</v>
      </c>
      <c r="CP80" t="e">
        <f>AND(#REF!,"AAAAABX+vV0=")</f>
        <v>#REF!</v>
      </c>
      <c r="CQ80" t="e">
        <f>AND(#REF!,"AAAAABX+vV4=")</f>
        <v>#REF!</v>
      </c>
      <c r="CR80" t="e">
        <f>AND(#REF!,"AAAAABX+vV8=")</f>
        <v>#REF!</v>
      </c>
      <c r="CS80" t="e">
        <f>AND(#REF!,"AAAAABX+vWA=")</f>
        <v>#REF!</v>
      </c>
      <c r="CT80" t="e">
        <f>AND(#REF!,"AAAAABX+vWE=")</f>
        <v>#REF!</v>
      </c>
      <c r="CU80" t="e">
        <f>AND(#REF!,"AAAAABX+vWI=")</f>
        <v>#REF!</v>
      </c>
      <c r="CV80" t="e">
        <f>AND(#REF!,"AAAAABX+vWM=")</f>
        <v>#REF!</v>
      </c>
      <c r="CW80" t="e">
        <f>AND(#REF!,"AAAAABX+vWQ=")</f>
        <v>#REF!</v>
      </c>
      <c r="CX80" t="e">
        <f>AND(#REF!,"AAAAABX+vWU=")</f>
        <v>#REF!</v>
      </c>
      <c r="CY80" t="e">
        <f>AND(#REF!,"AAAAABX+vWY=")</f>
        <v>#REF!</v>
      </c>
      <c r="CZ80" t="e">
        <f>AND(#REF!,"AAAAABX+vWc=")</f>
        <v>#REF!</v>
      </c>
      <c r="DA80" t="e">
        <f>AND(#REF!,"AAAAABX+vWg=")</f>
        <v>#REF!</v>
      </c>
      <c r="DB80" t="e">
        <f>IF(#REF!,"AAAAABX+vWk=",0)</f>
        <v>#REF!</v>
      </c>
      <c r="DC80" t="e">
        <f>AND(#REF!,"AAAAABX+vWo=")</f>
        <v>#REF!</v>
      </c>
      <c r="DD80" t="e">
        <f>AND(#REF!,"AAAAABX+vWs=")</f>
        <v>#REF!</v>
      </c>
      <c r="DE80" t="e">
        <f>AND(#REF!,"AAAAABX+vWw=")</f>
        <v>#REF!</v>
      </c>
      <c r="DF80" t="e">
        <f>AND(#REF!,"AAAAABX+vW0=")</f>
        <v>#REF!</v>
      </c>
      <c r="DG80" t="e">
        <f>AND(#REF!,"AAAAABX+vW4=")</f>
        <v>#REF!</v>
      </c>
      <c r="DH80" t="e">
        <f>AND(#REF!,"AAAAABX+vW8=")</f>
        <v>#REF!</v>
      </c>
      <c r="DI80" t="e">
        <f>AND(#REF!,"AAAAABX+vXA=")</f>
        <v>#REF!</v>
      </c>
      <c r="DJ80" t="e">
        <f>AND(#REF!,"AAAAABX+vXE=")</f>
        <v>#REF!</v>
      </c>
      <c r="DK80" t="e">
        <f>AND(#REF!,"AAAAABX+vXI=")</f>
        <v>#REF!</v>
      </c>
      <c r="DL80" t="e">
        <f>AND(#REF!,"AAAAABX+vXM=")</f>
        <v>#REF!</v>
      </c>
      <c r="DM80" t="e">
        <f>AND(#REF!,"AAAAABX+vXQ=")</f>
        <v>#REF!</v>
      </c>
      <c r="DN80" t="e">
        <f>AND(#REF!,"AAAAABX+vXU=")</f>
        <v>#REF!</v>
      </c>
      <c r="DO80" t="e">
        <f>AND(#REF!,"AAAAABX+vXY=")</f>
        <v>#REF!</v>
      </c>
      <c r="DP80" t="e">
        <f>AND(#REF!,"AAAAABX+vXc=")</f>
        <v>#REF!</v>
      </c>
      <c r="DQ80" t="e">
        <f>AND(#REF!,"AAAAABX+vXg=")</f>
        <v>#REF!</v>
      </c>
      <c r="DR80" t="e">
        <f>AND(#REF!,"AAAAABX+vXk=")</f>
        <v>#REF!</v>
      </c>
      <c r="DS80" t="e">
        <f>AND(#REF!,"AAAAABX+vXo=")</f>
        <v>#REF!</v>
      </c>
      <c r="DT80" t="e">
        <f>AND(#REF!,"AAAAABX+vXs=")</f>
        <v>#REF!</v>
      </c>
      <c r="DU80" t="e">
        <f>AND(#REF!,"AAAAABX+vXw=")</f>
        <v>#REF!</v>
      </c>
      <c r="DV80" t="e">
        <f>AND(#REF!,"AAAAABX+vX0=")</f>
        <v>#REF!</v>
      </c>
      <c r="DW80" t="e">
        <f>AND(#REF!,"AAAAABX+vX4=")</f>
        <v>#REF!</v>
      </c>
      <c r="DX80" t="e">
        <f>AND(#REF!,"AAAAABX+vX8=")</f>
        <v>#REF!</v>
      </c>
      <c r="DY80" t="e">
        <f>AND(#REF!,"AAAAABX+vYA=")</f>
        <v>#REF!</v>
      </c>
      <c r="DZ80" t="e">
        <f>AND(#REF!,"AAAAABX+vYE=")</f>
        <v>#REF!</v>
      </c>
      <c r="EA80" t="e">
        <f>AND(#REF!,"AAAAABX+vYI=")</f>
        <v>#REF!</v>
      </c>
      <c r="EB80" t="e">
        <f>AND(#REF!,"AAAAABX+vYM=")</f>
        <v>#REF!</v>
      </c>
      <c r="EC80" t="e">
        <f>AND(#REF!,"AAAAABX+vYQ=")</f>
        <v>#REF!</v>
      </c>
      <c r="ED80" t="e">
        <f>AND(#REF!,"AAAAABX+vYU=")</f>
        <v>#REF!</v>
      </c>
      <c r="EE80" t="e">
        <f>AND(#REF!,"AAAAABX+vYY=")</f>
        <v>#REF!</v>
      </c>
      <c r="EF80" t="e">
        <f>AND(#REF!,"AAAAABX+vYc=")</f>
        <v>#REF!</v>
      </c>
      <c r="EG80" t="e">
        <f>AND(#REF!,"AAAAABX+vYg=")</f>
        <v>#REF!</v>
      </c>
      <c r="EH80" t="e">
        <f>AND(#REF!,"AAAAABX+vYk=")</f>
        <v>#REF!</v>
      </c>
      <c r="EI80" t="e">
        <f>AND(#REF!,"AAAAABX+vYo=")</f>
        <v>#REF!</v>
      </c>
      <c r="EJ80" t="e">
        <f>AND(#REF!,"AAAAABX+vYs=")</f>
        <v>#REF!</v>
      </c>
      <c r="EK80" t="e">
        <f>AND(#REF!,"AAAAABX+vYw=")</f>
        <v>#REF!</v>
      </c>
      <c r="EL80" t="e">
        <f>AND(#REF!,"AAAAABX+vY0=")</f>
        <v>#REF!</v>
      </c>
      <c r="EM80" t="e">
        <f>AND(#REF!,"AAAAABX+vY4=")</f>
        <v>#REF!</v>
      </c>
      <c r="EN80" t="e">
        <f>AND(#REF!,"AAAAABX+vY8=")</f>
        <v>#REF!</v>
      </c>
      <c r="EO80" t="e">
        <f>AND(#REF!,"AAAAABX+vZA=")</f>
        <v>#REF!</v>
      </c>
      <c r="EP80" t="e">
        <f>AND(#REF!,"AAAAABX+vZE=")</f>
        <v>#REF!</v>
      </c>
      <c r="EQ80" t="e">
        <f>AND(#REF!,"AAAAABX+vZI=")</f>
        <v>#REF!</v>
      </c>
      <c r="ER80" t="e">
        <f>AND(#REF!,"AAAAABX+vZM=")</f>
        <v>#REF!</v>
      </c>
      <c r="ES80" t="e">
        <f>AND(#REF!,"AAAAABX+vZQ=")</f>
        <v>#REF!</v>
      </c>
      <c r="ET80" t="e">
        <f>AND(#REF!,"AAAAABX+vZU=")</f>
        <v>#REF!</v>
      </c>
      <c r="EU80" t="e">
        <f>AND(#REF!,"AAAAABX+vZY=")</f>
        <v>#REF!</v>
      </c>
      <c r="EV80" t="e">
        <f>AND(#REF!,"AAAAABX+vZc=")</f>
        <v>#REF!</v>
      </c>
      <c r="EW80" t="e">
        <f>AND(#REF!,"AAAAABX+vZg=")</f>
        <v>#REF!</v>
      </c>
      <c r="EX80" t="e">
        <f>AND(#REF!,"AAAAABX+vZk=")</f>
        <v>#REF!</v>
      </c>
      <c r="EY80" t="e">
        <f>AND(#REF!,"AAAAABX+vZo=")</f>
        <v>#REF!</v>
      </c>
      <c r="EZ80" t="e">
        <f>AND(#REF!,"AAAAABX+vZs=")</f>
        <v>#REF!</v>
      </c>
      <c r="FA80" t="e">
        <f>AND(#REF!,"AAAAABX+vZw=")</f>
        <v>#REF!</v>
      </c>
      <c r="FB80" t="e">
        <f>AND(#REF!,"AAAAABX+vZ0=")</f>
        <v>#REF!</v>
      </c>
      <c r="FC80" t="e">
        <f>AND(#REF!,"AAAAABX+vZ4=")</f>
        <v>#REF!</v>
      </c>
      <c r="FD80" t="e">
        <f>AND(#REF!,"AAAAABX+vZ8=")</f>
        <v>#REF!</v>
      </c>
      <c r="FE80" t="e">
        <f>IF(#REF!,"AAAAABX+vaA=",0)</f>
        <v>#REF!</v>
      </c>
      <c r="FF80" t="e">
        <f>AND(#REF!,"AAAAABX+vaE=")</f>
        <v>#REF!</v>
      </c>
      <c r="FG80" t="e">
        <f>AND(#REF!,"AAAAABX+vaI=")</f>
        <v>#REF!</v>
      </c>
      <c r="FH80" t="e">
        <f>AND(#REF!,"AAAAABX+vaM=")</f>
        <v>#REF!</v>
      </c>
      <c r="FI80" t="e">
        <f>AND(#REF!,"AAAAABX+vaQ=")</f>
        <v>#REF!</v>
      </c>
      <c r="FJ80" t="e">
        <f>AND(#REF!,"AAAAABX+vaU=")</f>
        <v>#REF!</v>
      </c>
      <c r="FK80" t="e">
        <f>AND(#REF!,"AAAAABX+vaY=")</f>
        <v>#REF!</v>
      </c>
      <c r="FL80" t="e">
        <f>AND(#REF!,"AAAAABX+vac=")</f>
        <v>#REF!</v>
      </c>
      <c r="FM80" t="e">
        <f>AND(#REF!,"AAAAABX+vag=")</f>
        <v>#REF!</v>
      </c>
      <c r="FN80" t="e">
        <f>AND(#REF!,"AAAAABX+vak=")</f>
        <v>#REF!</v>
      </c>
      <c r="FO80" t="e">
        <f>AND(#REF!,"AAAAABX+vao=")</f>
        <v>#REF!</v>
      </c>
      <c r="FP80" t="e">
        <f>AND(#REF!,"AAAAABX+vas=")</f>
        <v>#REF!</v>
      </c>
      <c r="FQ80" t="e">
        <f>AND(#REF!,"AAAAABX+vaw=")</f>
        <v>#REF!</v>
      </c>
      <c r="FR80" t="e">
        <f>AND(#REF!,"AAAAABX+va0=")</f>
        <v>#REF!</v>
      </c>
      <c r="FS80" t="e">
        <f>AND(#REF!,"AAAAABX+va4=")</f>
        <v>#REF!</v>
      </c>
      <c r="FT80" t="e">
        <f>AND(#REF!,"AAAAABX+va8=")</f>
        <v>#REF!</v>
      </c>
      <c r="FU80" t="e">
        <f>AND(#REF!,"AAAAABX+vbA=")</f>
        <v>#REF!</v>
      </c>
      <c r="FV80" t="e">
        <f>AND(#REF!,"AAAAABX+vbE=")</f>
        <v>#REF!</v>
      </c>
      <c r="FW80" t="e">
        <f>AND(#REF!,"AAAAABX+vbI=")</f>
        <v>#REF!</v>
      </c>
      <c r="FX80" t="e">
        <f>AND(#REF!,"AAAAABX+vbM=")</f>
        <v>#REF!</v>
      </c>
      <c r="FY80" t="e">
        <f>AND(#REF!,"AAAAABX+vbQ=")</f>
        <v>#REF!</v>
      </c>
      <c r="FZ80" t="e">
        <f>AND(#REF!,"AAAAABX+vbU=")</f>
        <v>#REF!</v>
      </c>
      <c r="GA80" t="e">
        <f>AND(#REF!,"AAAAABX+vbY=")</f>
        <v>#REF!</v>
      </c>
      <c r="GB80" t="e">
        <f>AND(#REF!,"AAAAABX+vbc=")</f>
        <v>#REF!</v>
      </c>
      <c r="GC80" t="e">
        <f>AND(#REF!,"AAAAABX+vbg=")</f>
        <v>#REF!</v>
      </c>
      <c r="GD80" t="e">
        <f>AND(#REF!,"AAAAABX+vbk=")</f>
        <v>#REF!</v>
      </c>
      <c r="GE80" t="e">
        <f>AND(#REF!,"AAAAABX+vbo=")</f>
        <v>#REF!</v>
      </c>
      <c r="GF80" t="e">
        <f>AND(#REF!,"AAAAABX+vbs=")</f>
        <v>#REF!</v>
      </c>
      <c r="GG80" t="e">
        <f>AND(#REF!,"AAAAABX+vbw=")</f>
        <v>#REF!</v>
      </c>
      <c r="GH80" t="e">
        <f>AND(#REF!,"AAAAABX+vb0=")</f>
        <v>#REF!</v>
      </c>
      <c r="GI80" t="e">
        <f>AND(#REF!,"AAAAABX+vb4=")</f>
        <v>#REF!</v>
      </c>
      <c r="GJ80" t="e">
        <f>AND(#REF!,"AAAAABX+vb8=")</f>
        <v>#REF!</v>
      </c>
      <c r="GK80" t="e">
        <f>AND(#REF!,"AAAAABX+vcA=")</f>
        <v>#REF!</v>
      </c>
      <c r="GL80" t="e">
        <f>AND(#REF!,"AAAAABX+vcE=")</f>
        <v>#REF!</v>
      </c>
      <c r="GM80" t="e">
        <f>AND(#REF!,"AAAAABX+vcI=")</f>
        <v>#REF!</v>
      </c>
      <c r="GN80" t="e">
        <f>AND(#REF!,"AAAAABX+vcM=")</f>
        <v>#REF!</v>
      </c>
      <c r="GO80" t="e">
        <f>AND(#REF!,"AAAAABX+vcQ=")</f>
        <v>#REF!</v>
      </c>
      <c r="GP80" t="e">
        <f>AND(#REF!,"AAAAABX+vcU=")</f>
        <v>#REF!</v>
      </c>
      <c r="GQ80" t="e">
        <f>AND(#REF!,"AAAAABX+vcY=")</f>
        <v>#REF!</v>
      </c>
      <c r="GR80" t="e">
        <f>AND(#REF!,"AAAAABX+vcc=")</f>
        <v>#REF!</v>
      </c>
      <c r="GS80" t="e">
        <f>AND(#REF!,"AAAAABX+vcg=")</f>
        <v>#REF!</v>
      </c>
      <c r="GT80" t="e">
        <f>AND(#REF!,"AAAAABX+vck=")</f>
        <v>#REF!</v>
      </c>
      <c r="GU80" t="e">
        <f>AND(#REF!,"AAAAABX+vco=")</f>
        <v>#REF!</v>
      </c>
      <c r="GV80" t="e">
        <f>AND(#REF!,"AAAAABX+vcs=")</f>
        <v>#REF!</v>
      </c>
      <c r="GW80" t="e">
        <f>AND(#REF!,"AAAAABX+vcw=")</f>
        <v>#REF!</v>
      </c>
      <c r="GX80" t="e">
        <f>AND(#REF!,"AAAAABX+vc0=")</f>
        <v>#REF!</v>
      </c>
      <c r="GY80" t="e">
        <f>AND(#REF!,"AAAAABX+vc4=")</f>
        <v>#REF!</v>
      </c>
      <c r="GZ80" t="e">
        <f>AND(#REF!,"AAAAABX+vc8=")</f>
        <v>#REF!</v>
      </c>
      <c r="HA80" t="e">
        <f>AND(#REF!,"AAAAABX+vdA=")</f>
        <v>#REF!</v>
      </c>
      <c r="HB80" t="e">
        <f>AND(#REF!,"AAAAABX+vdE=")</f>
        <v>#REF!</v>
      </c>
      <c r="HC80" t="e">
        <f>AND(#REF!,"AAAAABX+vdI=")</f>
        <v>#REF!</v>
      </c>
      <c r="HD80" t="e">
        <f>AND(#REF!,"AAAAABX+vdM=")</f>
        <v>#REF!</v>
      </c>
      <c r="HE80" t="e">
        <f>AND(#REF!,"AAAAABX+vdQ=")</f>
        <v>#REF!</v>
      </c>
      <c r="HF80" t="e">
        <f>AND(#REF!,"AAAAABX+vdU=")</f>
        <v>#REF!</v>
      </c>
      <c r="HG80" t="e">
        <f>AND(#REF!,"AAAAABX+vdY=")</f>
        <v>#REF!</v>
      </c>
      <c r="HH80" t="e">
        <f>IF(#REF!,"AAAAABX+vdc=",0)</f>
        <v>#REF!</v>
      </c>
      <c r="HI80" t="e">
        <f>AND(#REF!,"AAAAABX+vdg=")</f>
        <v>#REF!</v>
      </c>
      <c r="HJ80" t="e">
        <f>AND(#REF!,"AAAAABX+vdk=")</f>
        <v>#REF!</v>
      </c>
      <c r="HK80" t="e">
        <f>AND(#REF!,"AAAAABX+vdo=")</f>
        <v>#REF!</v>
      </c>
      <c r="HL80" t="e">
        <f>AND(#REF!,"AAAAABX+vds=")</f>
        <v>#REF!</v>
      </c>
      <c r="HM80" t="e">
        <f>AND(#REF!,"AAAAABX+vdw=")</f>
        <v>#REF!</v>
      </c>
      <c r="HN80" t="e">
        <f>AND(#REF!,"AAAAABX+vd0=")</f>
        <v>#REF!</v>
      </c>
      <c r="HO80" t="e">
        <f>AND(#REF!,"AAAAABX+vd4=")</f>
        <v>#REF!</v>
      </c>
      <c r="HP80" t="e">
        <f>AND(#REF!,"AAAAABX+vd8=")</f>
        <v>#REF!</v>
      </c>
      <c r="HQ80" t="e">
        <f>AND(#REF!,"AAAAABX+veA=")</f>
        <v>#REF!</v>
      </c>
      <c r="HR80" t="e">
        <f>AND(#REF!,"AAAAABX+veE=")</f>
        <v>#REF!</v>
      </c>
      <c r="HS80" t="e">
        <f>AND(#REF!,"AAAAABX+veI=")</f>
        <v>#REF!</v>
      </c>
      <c r="HT80" t="e">
        <f>AND(#REF!,"AAAAABX+veM=")</f>
        <v>#REF!</v>
      </c>
      <c r="HU80" t="e">
        <f>AND(#REF!,"AAAAABX+veQ=")</f>
        <v>#REF!</v>
      </c>
      <c r="HV80" t="e">
        <f>AND(#REF!,"AAAAABX+veU=")</f>
        <v>#REF!</v>
      </c>
      <c r="HW80" t="e">
        <f>AND(#REF!,"AAAAABX+veY=")</f>
        <v>#REF!</v>
      </c>
      <c r="HX80" t="e">
        <f>AND(#REF!,"AAAAABX+vec=")</f>
        <v>#REF!</v>
      </c>
      <c r="HY80" t="e">
        <f>AND(#REF!,"AAAAABX+veg=")</f>
        <v>#REF!</v>
      </c>
      <c r="HZ80" t="e">
        <f>AND(#REF!,"AAAAABX+vek=")</f>
        <v>#REF!</v>
      </c>
      <c r="IA80" t="e">
        <f>AND(#REF!,"AAAAABX+veo=")</f>
        <v>#REF!</v>
      </c>
      <c r="IB80" t="e">
        <f>AND(#REF!,"AAAAABX+ves=")</f>
        <v>#REF!</v>
      </c>
      <c r="IC80" t="e">
        <f>AND(#REF!,"AAAAABX+vew=")</f>
        <v>#REF!</v>
      </c>
      <c r="ID80" t="e">
        <f>AND(#REF!,"AAAAABX+ve0=")</f>
        <v>#REF!</v>
      </c>
      <c r="IE80" t="e">
        <f>AND(#REF!,"AAAAABX+ve4=")</f>
        <v>#REF!</v>
      </c>
      <c r="IF80" t="e">
        <f>AND(#REF!,"AAAAABX+ve8=")</f>
        <v>#REF!</v>
      </c>
      <c r="IG80" t="e">
        <f>AND(#REF!,"AAAAABX+vfA=")</f>
        <v>#REF!</v>
      </c>
      <c r="IH80" t="e">
        <f>AND(#REF!,"AAAAABX+vfE=")</f>
        <v>#REF!</v>
      </c>
      <c r="II80" t="e">
        <f>AND(#REF!,"AAAAABX+vfI=")</f>
        <v>#REF!</v>
      </c>
      <c r="IJ80" t="e">
        <f>AND(#REF!,"AAAAABX+vfM=")</f>
        <v>#REF!</v>
      </c>
      <c r="IK80" t="e">
        <f>AND(#REF!,"AAAAABX+vfQ=")</f>
        <v>#REF!</v>
      </c>
      <c r="IL80" t="e">
        <f>AND(#REF!,"AAAAABX+vfU=")</f>
        <v>#REF!</v>
      </c>
      <c r="IM80" t="e">
        <f>AND(#REF!,"AAAAABX+vfY=")</f>
        <v>#REF!</v>
      </c>
      <c r="IN80" t="e">
        <f>AND(#REF!,"AAAAABX+vfc=")</f>
        <v>#REF!</v>
      </c>
      <c r="IO80" t="e">
        <f>AND(#REF!,"AAAAABX+vfg=")</f>
        <v>#REF!</v>
      </c>
      <c r="IP80" t="e">
        <f>AND(#REF!,"AAAAABX+vfk=")</f>
        <v>#REF!</v>
      </c>
      <c r="IQ80" t="e">
        <f>AND(#REF!,"AAAAABX+vfo=")</f>
        <v>#REF!</v>
      </c>
      <c r="IR80" t="e">
        <f>AND(#REF!,"AAAAABX+vfs=")</f>
        <v>#REF!</v>
      </c>
      <c r="IS80" t="e">
        <f>AND(#REF!,"AAAAABX+vfw=")</f>
        <v>#REF!</v>
      </c>
      <c r="IT80" t="e">
        <f>AND(#REF!,"AAAAABX+vf0=")</f>
        <v>#REF!</v>
      </c>
      <c r="IU80" t="e">
        <f>AND(#REF!,"AAAAABX+vf4=")</f>
        <v>#REF!</v>
      </c>
      <c r="IV80" t="e">
        <f>AND(#REF!,"AAAAABX+vf8=")</f>
        <v>#REF!</v>
      </c>
    </row>
    <row r="81" spans="1:256" x14ac:dyDescent="0.25">
      <c r="A81" t="e">
        <f>AND(#REF!,"AAAAAHxXGwA=")</f>
        <v>#REF!</v>
      </c>
      <c r="B81" t="e">
        <f>AND(#REF!,"AAAAAHxXGwE=")</f>
        <v>#REF!</v>
      </c>
      <c r="C81" t="e">
        <f>AND(#REF!,"AAAAAHxXGwI=")</f>
        <v>#REF!</v>
      </c>
      <c r="D81" t="e">
        <f>AND(#REF!,"AAAAAHxXGwM=")</f>
        <v>#REF!</v>
      </c>
      <c r="E81" t="e">
        <f>AND(#REF!,"AAAAAHxXGwQ=")</f>
        <v>#REF!</v>
      </c>
      <c r="F81" t="e">
        <f>AND(#REF!,"AAAAAHxXGwU=")</f>
        <v>#REF!</v>
      </c>
      <c r="G81" t="e">
        <f>AND(#REF!,"AAAAAHxXGwY=")</f>
        <v>#REF!</v>
      </c>
      <c r="H81" t="e">
        <f>AND(#REF!,"AAAAAHxXGwc=")</f>
        <v>#REF!</v>
      </c>
      <c r="I81" t="e">
        <f>AND(#REF!,"AAAAAHxXGwg=")</f>
        <v>#REF!</v>
      </c>
      <c r="J81" t="e">
        <f>AND(#REF!,"AAAAAHxXGwk=")</f>
        <v>#REF!</v>
      </c>
      <c r="K81" t="e">
        <f>AND(#REF!,"AAAAAHxXGwo=")</f>
        <v>#REF!</v>
      </c>
      <c r="L81" t="e">
        <f>AND(#REF!,"AAAAAHxXGws=")</f>
        <v>#REF!</v>
      </c>
      <c r="M81" t="e">
        <f>AND(#REF!,"AAAAAHxXGww=")</f>
        <v>#REF!</v>
      </c>
      <c r="N81" t="e">
        <f>AND(#REF!,"AAAAAHxXGw0=")</f>
        <v>#REF!</v>
      </c>
      <c r="O81" t="e">
        <f>IF(#REF!,"AAAAAHxXGw4=",0)</f>
        <v>#REF!</v>
      </c>
      <c r="P81" t="e">
        <f>AND(#REF!,"AAAAAHxXGw8=")</f>
        <v>#REF!</v>
      </c>
      <c r="Q81" t="e">
        <f>AND(#REF!,"AAAAAHxXGxA=")</f>
        <v>#REF!</v>
      </c>
      <c r="R81" t="e">
        <f>AND(#REF!,"AAAAAHxXGxE=")</f>
        <v>#REF!</v>
      </c>
      <c r="S81" t="e">
        <f>AND(#REF!,"AAAAAHxXGxI=")</f>
        <v>#REF!</v>
      </c>
      <c r="T81" t="e">
        <f>AND(#REF!,"AAAAAHxXGxM=")</f>
        <v>#REF!</v>
      </c>
      <c r="U81" t="e">
        <f>AND(#REF!,"AAAAAHxXGxQ=")</f>
        <v>#REF!</v>
      </c>
      <c r="V81" t="e">
        <f>AND(#REF!,"AAAAAHxXGxU=")</f>
        <v>#REF!</v>
      </c>
      <c r="W81" t="e">
        <f>AND(#REF!,"AAAAAHxXGxY=")</f>
        <v>#REF!</v>
      </c>
      <c r="X81" t="e">
        <f>AND(#REF!,"AAAAAHxXGxc=")</f>
        <v>#REF!</v>
      </c>
      <c r="Y81" t="e">
        <f>AND(#REF!,"AAAAAHxXGxg=")</f>
        <v>#REF!</v>
      </c>
      <c r="Z81" t="e">
        <f>AND(#REF!,"AAAAAHxXGxk=")</f>
        <v>#REF!</v>
      </c>
      <c r="AA81" t="e">
        <f>AND(#REF!,"AAAAAHxXGxo=")</f>
        <v>#REF!</v>
      </c>
      <c r="AB81" t="e">
        <f>AND(#REF!,"AAAAAHxXGxs=")</f>
        <v>#REF!</v>
      </c>
      <c r="AC81" t="e">
        <f>AND(#REF!,"AAAAAHxXGxw=")</f>
        <v>#REF!</v>
      </c>
      <c r="AD81" t="e">
        <f>AND(#REF!,"AAAAAHxXGx0=")</f>
        <v>#REF!</v>
      </c>
      <c r="AE81" t="e">
        <f>AND(#REF!,"AAAAAHxXGx4=")</f>
        <v>#REF!</v>
      </c>
      <c r="AF81" t="e">
        <f>AND(#REF!,"AAAAAHxXGx8=")</f>
        <v>#REF!</v>
      </c>
      <c r="AG81" t="e">
        <f>AND(#REF!,"AAAAAHxXGyA=")</f>
        <v>#REF!</v>
      </c>
      <c r="AH81" t="e">
        <f>AND(#REF!,"AAAAAHxXGyE=")</f>
        <v>#REF!</v>
      </c>
      <c r="AI81" t="e">
        <f>AND(#REF!,"AAAAAHxXGyI=")</f>
        <v>#REF!</v>
      </c>
      <c r="AJ81" t="e">
        <f>AND(#REF!,"AAAAAHxXGyM=")</f>
        <v>#REF!</v>
      </c>
      <c r="AK81" t="e">
        <f>AND(#REF!,"AAAAAHxXGyQ=")</f>
        <v>#REF!</v>
      </c>
      <c r="AL81" t="e">
        <f>AND(#REF!,"AAAAAHxXGyU=")</f>
        <v>#REF!</v>
      </c>
      <c r="AM81" t="e">
        <f>AND(#REF!,"AAAAAHxXGyY=")</f>
        <v>#REF!</v>
      </c>
      <c r="AN81" t="e">
        <f>AND(#REF!,"AAAAAHxXGyc=")</f>
        <v>#REF!</v>
      </c>
      <c r="AO81" t="e">
        <f>AND(#REF!,"AAAAAHxXGyg=")</f>
        <v>#REF!</v>
      </c>
      <c r="AP81" t="e">
        <f>AND(#REF!,"AAAAAHxXGyk=")</f>
        <v>#REF!</v>
      </c>
      <c r="AQ81" t="e">
        <f>AND(#REF!,"AAAAAHxXGyo=")</f>
        <v>#REF!</v>
      </c>
      <c r="AR81" t="e">
        <f>AND(#REF!,"AAAAAHxXGys=")</f>
        <v>#REF!</v>
      </c>
      <c r="AS81" t="e">
        <f>AND(#REF!,"AAAAAHxXGyw=")</f>
        <v>#REF!</v>
      </c>
      <c r="AT81" t="e">
        <f>AND(#REF!,"AAAAAHxXGy0=")</f>
        <v>#REF!</v>
      </c>
      <c r="AU81" t="e">
        <f>AND(#REF!,"AAAAAHxXGy4=")</f>
        <v>#REF!</v>
      </c>
      <c r="AV81" t="e">
        <f>AND(#REF!,"AAAAAHxXGy8=")</f>
        <v>#REF!</v>
      </c>
      <c r="AW81" t="e">
        <f>AND(#REF!,"AAAAAHxXGzA=")</f>
        <v>#REF!</v>
      </c>
      <c r="AX81" t="e">
        <f>AND(#REF!,"AAAAAHxXGzE=")</f>
        <v>#REF!</v>
      </c>
      <c r="AY81" t="e">
        <f>AND(#REF!,"AAAAAHxXGzI=")</f>
        <v>#REF!</v>
      </c>
      <c r="AZ81" t="e">
        <f>AND(#REF!,"AAAAAHxXGzM=")</f>
        <v>#REF!</v>
      </c>
      <c r="BA81" t="e">
        <f>AND(#REF!,"AAAAAHxXGzQ=")</f>
        <v>#REF!</v>
      </c>
      <c r="BB81" t="e">
        <f>AND(#REF!,"AAAAAHxXGzU=")</f>
        <v>#REF!</v>
      </c>
      <c r="BC81" t="e">
        <f>AND(#REF!,"AAAAAHxXGzY=")</f>
        <v>#REF!</v>
      </c>
      <c r="BD81" t="e">
        <f>AND(#REF!,"AAAAAHxXGzc=")</f>
        <v>#REF!</v>
      </c>
      <c r="BE81" t="e">
        <f>AND(#REF!,"AAAAAHxXGzg=")</f>
        <v>#REF!</v>
      </c>
      <c r="BF81" t="e">
        <f>AND(#REF!,"AAAAAHxXGzk=")</f>
        <v>#REF!</v>
      </c>
      <c r="BG81" t="e">
        <f>AND(#REF!,"AAAAAHxXGzo=")</f>
        <v>#REF!</v>
      </c>
      <c r="BH81" t="e">
        <f>AND(#REF!,"AAAAAHxXGzs=")</f>
        <v>#REF!</v>
      </c>
      <c r="BI81" t="e">
        <f>AND(#REF!,"AAAAAHxXGzw=")</f>
        <v>#REF!</v>
      </c>
      <c r="BJ81" t="e">
        <f>AND(#REF!,"AAAAAHxXGz0=")</f>
        <v>#REF!</v>
      </c>
      <c r="BK81" t="e">
        <f>AND(#REF!,"AAAAAHxXGz4=")</f>
        <v>#REF!</v>
      </c>
      <c r="BL81" t="e">
        <f>AND(#REF!,"AAAAAHxXGz8=")</f>
        <v>#REF!</v>
      </c>
      <c r="BM81" t="e">
        <f>AND(#REF!,"AAAAAHxXG0A=")</f>
        <v>#REF!</v>
      </c>
      <c r="BN81" t="e">
        <f>AND(#REF!,"AAAAAHxXG0E=")</f>
        <v>#REF!</v>
      </c>
      <c r="BO81" t="e">
        <f>AND(#REF!,"AAAAAHxXG0I=")</f>
        <v>#REF!</v>
      </c>
      <c r="BP81" t="e">
        <f>AND(#REF!,"AAAAAHxXG0M=")</f>
        <v>#REF!</v>
      </c>
      <c r="BQ81" t="e">
        <f>AND(#REF!,"AAAAAHxXG0Q=")</f>
        <v>#REF!</v>
      </c>
      <c r="BR81" t="e">
        <f>IF(#REF!,"AAAAAHxXG0U=",0)</f>
        <v>#REF!</v>
      </c>
      <c r="BS81" t="e">
        <f>AND(#REF!,"AAAAAHxXG0Y=")</f>
        <v>#REF!</v>
      </c>
      <c r="BT81" t="e">
        <f>AND(#REF!,"AAAAAHxXG0c=")</f>
        <v>#REF!</v>
      </c>
      <c r="BU81" t="e">
        <f>AND(#REF!,"AAAAAHxXG0g=")</f>
        <v>#REF!</v>
      </c>
      <c r="BV81" t="e">
        <f>AND(#REF!,"AAAAAHxXG0k=")</f>
        <v>#REF!</v>
      </c>
      <c r="BW81" t="e">
        <f>AND(#REF!,"AAAAAHxXG0o=")</f>
        <v>#REF!</v>
      </c>
      <c r="BX81" t="e">
        <f>AND(#REF!,"AAAAAHxXG0s=")</f>
        <v>#REF!</v>
      </c>
      <c r="BY81" t="e">
        <f>AND(#REF!,"AAAAAHxXG0w=")</f>
        <v>#REF!</v>
      </c>
      <c r="BZ81" t="e">
        <f>AND(#REF!,"AAAAAHxXG00=")</f>
        <v>#REF!</v>
      </c>
      <c r="CA81" t="e">
        <f>AND(#REF!,"AAAAAHxXG04=")</f>
        <v>#REF!</v>
      </c>
      <c r="CB81" t="e">
        <f>AND(#REF!,"AAAAAHxXG08=")</f>
        <v>#REF!</v>
      </c>
      <c r="CC81" t="e">
        <f>AND(#REF!,"AAAAAHxXG1A=")</f>
        <v>#REF!</v>
      </c>
      <c r="CD81" t="e">
        <f>AND(#REF!,"AAAAAHxXG1E=")</f>
        <v>#REF!</v>
      </c>
      <c r="CE81" t="e">
        <f>AND(#REF!,"AAAAAHxXG1I=")</f>
        <v>#REF!</v>
      </c>
      <c r="CF81" t="e">
        <f>AND(#REF!,"AAAAAHxXG1M=")</f>
        <v>#REF!</v>
      </c>
      <c r="CG81" t="e">
        <f>AND(#REF!,"AAAAAHxXG1Q=")</f>
        <v>#REF!</v>
      </c>
      <c r="CH81" t="e">
        <f>AND(#REF!,"AAAAAHxXG1U=")</f>
        <v>#REF!</v>
      </c>
      <c r="CI81" t="e">
        <f>AND(#REF!,"AAAAAHxXG1Y=")</f>
        <v>#REF!</v>
      </c>
      <c r="CJ81" t="e">
        <f>AND(#REF!,"AAAAAHxXG1c=")</f>
        <v>#REF!</v>
      </c>
      <c r="CK81" t="e">
        <f>AND(#REF!,"AAAAAHxXG1g=")</f>
        <v>#REF!</v>
      </c>
      <c r="CL81" t="e">
        <f>AND(#REF!,"AAAAAHxXG1k=")</f>
        <v>#REF!</v>
      </c>
      <c r="CM81" t="e">
        <f>AND(#REF!,"AAAAAHxXG1o=")</f>
        <v>#REF!</v>
      </c>
      <c r="CN81" t="e">
        <f>AND(#REF!,"AAAAAHxXG1s=")</f>
        <v>#REF!</v>
      </c>
      <c r="CO81" t="e">
        <f>AND(#REF!,"AAAAAHxXG1w=")</f>
        <v>#REF!</v>
      </c>
      <c r="CP81" t="e">
        <f>AND(#REF!,"AAAAAHxXG10=")</f>
        <v>#REF!</v>
      </c>
      <c r="CQ81" t="e">
        <f>AND(#REF!,"AAAAAHxXG14=")</f>
        <v>#REF!</v>
      </c>
      <c r="CR81" t="e">
        <f>AND(#REF!,"AAAAAHxXG18=")</f>
        <v>#REF!</v>
      </c>
      <c r="CS81" t="e">
        <f>AND(#REF!,"AAAAAHxXG2A=")</f>
        <v>#REF!</v>
      </c>
      <c r="CT81" t="e">
        <f>AND(#REF!,"AAAAAHxXG2E=")</f>
        <v>#REF!</v>
      </c>
      <c r="CU81" t="e">
        <f>AND(#REF!,"AAAAAHxXG2I=")</f>
        <v>#REF!</v>
      </c>
      <c r="CV81" t="e">
        <f>AND(#REF!,"AAAAAHxXG2M=")</f>
        <v>#REF!</v>
      </c>
      <c r="CW81" t="e">
        <f>AND(#REF!,"AAAAAHxXG2Q=")</f>
        <v>#REF!</v>
      </c>
      <c r="CX81" t="e">
        <f>AND(#REF!,"AAAAAHxXG2U=")</f>
        <v>#REF!</v>
      </c>
      <c r="CY81" t="e">
        <f>AND(#REF!,"AAAAAHxXG2Y=")</f>
        <v>#REF!</v>
      </c>
      <c r="CZ81" t="e">
        <f>AND(#REF!,"AAAAAHxXG2c=")</f>
        <v>#REF!</v>
      </c>
      <c r="DA81" t="e">
        <f>AND(#REF!,"AAAAAHxXG2g=")</f>
        <v>#REF!</v>
      </c>
      <c r="DB81" t="e">
        <f>AND(#REF!,"AAAAAHxXG2k=")</f>
        <v>#REF!</v>
      </c>
      <c r="DC81" t="e">
        <f>AND(#REF!,"AAAAAHxXG2o=")</f>
        <v>#REF!</v>
      </c>
      <c r="DD81" t="e">
        <f>AND(#REF!,"AAAAAHxXG2s=")</f>
        <v>#REF!</v>
      </c>
      <c r="DE81" t="e">
        <f>AND(#REF!,"AAAAAHxXG2w=")</f>
        <v>#REF!</v>
      </c>
      <c r="DF81" t="e">
        <f>AND(#REF!,"AAAAAHxXG20=")</f>
        <v>#REF!</v>
      </c>
      <c r="DG81" t="e">
        <f>AND(#REF!,"AAAAAHxXG24=")</f>
        <v>#REF!</v>
      </c>
      <c r="DH81" t="e">
        <f>AND(#REF!,"AAAAAHxXG28=")</f>
        <v>#REF!</v>
      </c>
      <c r="DI81" t="e">
        <f>AND(#REF!,"AAAAAHxXG3A=")</f>
        <v>#REF!</v>
      </c>
      <c r="DJ81" t="e">
        <f>AND(#REF!,"AAAAAHxXG3E=")</f>
        <v>#REF!</v>
      </c>
      <c r="DK81" t="e">
        <f>AND(#REF!,"AAAAAHxXG3I=")</f>
        <v>#REF!</v>
      </c>
      <c r="DL81" t="e">
        <f>AND(#REF!,"AAAAAHxXG3M=")</f>
        <v>#REF!</v>
      </c>
      <c r="DM81" t="e">
        <f>AND(#REF!,"AAAAAHxXG3Q=")</f>
        <v>#REF!</v>
      </c>
      <c r="DN81" t="e">
        <f>AND(#REF!,"AAAAAHxXG3U=")</f>
        <v>#REF!</v>
      </c>
      <c r="DO81" t="e">
        <f>AND(#REF!,"AAAAAHxXG3Y=")</f>
        <v>#REF!</v>
      </c>
      <c r="DP81" t="e">
        <f>AND(#REF!,"AAAAAHxXG3c=")</f>
        <v>#REF!</v>
      </c>
      <c r="DQ81" t="e">
        <f>AND(#REF!,"AAAAAHxXG3g=")</f>
        <v>#REF!</v>
      </c>
      <c r="DR81" t="e">
        <f>AND(#REF!,"AAAAAHxXG3k=")</f>
        <v>#REF!</v>
      </c>
      <c r="DS81" t="e">
        <f>AND(#REF!,"AAAAAHxXG3o=")</f>
        <v>#REF!</v>
      </c>
      <c r="DT81" t="e">
        <f>AND(#REF!,"AAAAAHxXG3s=")</f>
        <v>#REF!</v>
      </c>
      <c r="DU81" t="e">
        <f>IF(#REF!,"AAAAAHxXG3w=",0)</f>
        <v>#REF!</v>
      </c>
      <c r="DV81" t="e">
        <f>AND(#REF!,"AAAAAHxXG30=")</f>
        <v>#REF!</v>
      </c>
      <c r="DW81" t="e">
        <f>AND(#REF!,"AAAAAHxXG34=")</f>
        <v>#REF!</v>
      </c>
      <c r="DX81" t="e">
        <f>AND(#REF!,"AAAAAHxXG38=")</f>
        <v>#REF!</v>
      </c>
      <c r="DY81" t="e">
        <f>AND(#REF!,"AAAAAHxXG4A=")</f>
        <v>#REF!</v>
      </c>
      <c r="DZ81" t="e">
        <f>AND(#REF!,"AAAAAHxXG4E=")</f>
        <v>#REF!</v>
      </c>
      <c r="EA81" t="e">
        <f>AND(#REF!,"AAAAAHxXG4I=")</f>
        <v>#REF!</v>
      </c>
      <c r="EB81" t="e">
        <f>AND(#REF!,"AAAAAHxXG4M=")</f>
        <v>#REF!</v>
      </c>
      <c r="EC81" t="e">
        <f>AND(#REF!,"AAAAAHxXG4Q=")</f>
        <v>#REF!</v>
      </c>
      <c r="ED81" t="e">
        <f>AND(#REF!,"AAAAAHxXG4U=")</f>
        <v>#REF!</v>
      </c>
      <c r="EE81" t="e">
        <f>AND(#REF!,"AAAAAHxXG4Y=")</f>
        <v>#REF!</v>
      </c>
      <c r="EF81" t="e">
        <f>AND(#REF!,"AAAAAHxXG4c=")</f>
        <v>#REF!</v>
      </c>
      <c r="EG81" t="e">
        <f>AND(#REF!,"AAAAAHxXG4g=")</f>
        <v>#REF!</v>
      </c>
      <c r="EH81" t="e">
        <f>AND(#REF!,"AAAAAHxXG4k=")</f>
        <v>#REF!</v>
      </c>
      <c r="EI81" t="e">
        <f>AND(#REF!,"AAAAAHxXG4o=")</f>
        <v>#REF!</v>
      </c>
      <c r="EJ81" t="e">
        <f>AND(#REF!,"AAAAAHxXG4s=")</f>
        <v>#REF!</v>
      </c>
      <c r="EK81" t="e">
        <f>AND(#REF!,"AAAAAHxXG4w=")</f>
        <v>#REF!</v>
      </c>
      <c r="EL81" t="e">
        <f>AND(#REF!,"AAAAAHxXG40=")</f>
        <v>#REF!</v>
      </c>
      <c r="EM81" t="e">
        <f>AND(#REF!,"AAAAAHxXG44=")</f>
        <v>#REF!</v>
      </c>
      <c r="EN81" t="e">
        <f>AND(#REF!,"AAAAAHxXG48=")</f>
        <v>#REF!</v>
      </c>
      <c r="EO81" t="e">
        <f>AND(#REF!,"AAAAAHxXG5A=")</f>
        <v>#REF!</v>
      </c>
      <c r="EP81" t="e">
        <f>AND(#REF!,"AAAAAHxXG5E=")</f>
        <v>#REF!</v>
      </c>
      <c r="EQ81" t="e">
        <f>AND(#REF!,"AAAAAHxXG5I=")</f>
        <v>#REF!</v>
      </c>
      <c r="ER81" t="e">
        <f>AND(#REF!,"AAAAAHxXG5M=")</f>
        <v>#REF!</v>
      </c>
      <c r="ES81" t="e">
        <f>AND(#REF!,"AAAAAHxXG5Q=")</f>
        <v>#REF!</v>
      </c>
      <c r="ET81" t="e">
        <f>AND(#REF!,"AAAAAHxXG5U=")</f>
        <v>#REF!</v>
      </c>
      <c r="EU81" t="e">
        <f>AND(#REF!,"AAAAAHxXG5Y=")</f>
        <v>#REF!</v>
      </c>
      <c r="EV81" t="e">
        <f>AND(#REF!,"AAAAAHxXG5c=")</f>
        <v>#REF!</v>
      </c>
      <c r="EW81" t="e">
        <f>AND(#REF!,"AAAAAHxXG5g=")</f>
        <v>#REF!</v>
      </c>
      <c r="EX81" t="e">
        <f>AND(#REF!,"AAAAAHxXG5k=")</f>
        <v>#REF!</v>
      </c>
      <c r="EY81" t="e">
        <f>AND(#REF!,"AAAAAHxXG5o=")</f>
        <v>#REF!</v>
      </c>
      <c r="EZ81" t="e">
        <f>AND(#REF!,"AAAAAHxXG5s=")</f>
        <v>#REF!</v>
      </c>
      <c r="FA81" t="e">
        <f>AND(#REF!,"AAAAAHxXG5w=")</f>
        <v>#REF!</v>
      </c>
      <c r="FB81" t="e">
        <f>AND(#REF!,"AAAAAHxXG50=")</f>
        <v>#REF!</v>
      </c>
      <c r="FC81" t="e">
        <f>AND(#REF!,"AAAAAHxXG54=")</f>
        <v>#REF!</v>
      </c>
      <c r="FD81" t="e">
        <f>AND(#REF!,"AAAAAHxXG58=")</f>
        <v>#REF!</v>
      </c>
      <c r="FE81" t="e">
        <f>AND(#REF!,"AAAAAHxXG6A=")</f>
        <v>#REF!</v>
      </c>
      <c r="FF81" t="e">
        <f>AND(#REF!,"AAAAAHxXG6E=")</f>
        <v>#REF!</v>
      </c>
      <c r="FG81" t="e">
        <f>AND(#REF!,"AAAAAHxXG6I=")</f>
        <v>#REF!</v>
      </c>
      <c r="FH81" t="e">
        <f>AND(#REF!,"AAAAAHxXG6M=")</f>
        <v>#REF!</v>
      </c>
      <c r="FI81" t="e">
        <f>AND(#REF!,"AAAAAHxXG6Q=")</f>
        <v>#REF!</v>
      </c>
      <c r="FJ81" t="e">
        <f>AND(#REF!,"AAAAAHxXG6U=")</f>
        <v>#REF!</v>
      </c>
      <c r="FK81" t="e">
        <f>AND(#REF!,"AAAAAHxXG6Y=")</f>
        <v>#REF!</v>
      </c>
      <c r="FL81" t="e">
        <f>AND(#REF!,"AAAAAHxXG6c=")</f>
        <v>#REF!</v>
      </c>
      <c r="FM81" t="e">
        <f>AND(#REF!,"AAAAAHxXG6g=")</f>
        <v>#REF!</v>
      </c>
      <c r="FN81" t="e">
        <f>AND(#REF!,"AAAAAHxXG6k=")</f>
        <v>#REF!</v>
      </c>
      <c r="FO81" t="e">
        <f>AND(#REF!,"AAAAAHxXG6o=")</f>
        <v>#REF!</v>
      </c>
      <c r="FP81" t="e">
        <f>AND(#REF!,"AAAAAHxXG6s=")</f>
        <v>#REF!</v>
      </c>
      <c r="FQ81" t="e">
        <f>AND(#REF!,"AAAAAHxXG6w=")</f>
        <v>#REF!</v>
      </c>
      <c r="FR81" t="e">
        <f>AND(#REF!,"AAAAAHxXG60=")</f>
        <v>#REF!</v>
      </c>
      <c r="FS81" t="e">
        <f>AND(#REF!,"AAAAAHxXG64=")</f>
        <v>#REF!</v>
      </c>
      <c r="FT81" t="e">
        <f>AND(#REF!,"AAAAAHxXG68=")</f>
        <v>#REF!</v>
      </c>
      <c r="FU81" t="e">
        <f>AND(#REF!,"AAAAAHxXG7A=")</f>
        <v>#REF!</v>
      </c>
      <c r="FV81" t="e">
        <f>AND(#REF!,"AAAAAHxXG7E=")</f>
        <v>#REF!</v>
      </c>
      <c r="FW81" t="e">
        <f>AND(#REF!,"AAAAAHxXG7I=")</f>
        <v>#REF!</v>
      </c>
      <c r="FX81" t="e">
        <f>IF(#REF!,"AAAAAHxXG7M=",0)</f>
        <v>#REF!</v>
      </c>
      <c r="FY81" t="e">
        <f>AND(#REF!,"AAAAAHxXG7Q=")</f>
        <v>#REF!</v>
      </c>
      <c r="FZ81" t="e">
        <f>AND(#REF!,"AAAAAHxXG7U=")</f>
        <v>#REF!</v>
      </c>
      <c r="GA81" t="e">
        <f>AND(#REF!,"AAAAAHxXG7Y=")</f>
        <v>#REF!</v>
      </c>
      <c r="GB81" t="e">
        <f>AND(#REF!,"AAAAAHxXG7c=")</f>
        <v>#REF!</v>
      </c>
      <c r="GC81" t="e">
        <f>AND(#REF!,"AAAAAHxXG7g=")</f>
        <v>#REF!</v>
      </c>
      <c r="GD81" t="e">
        <f>AND(#REF!,"AAAAAHxXG7k=")</f>
        <v>#REF!</v>
      </c>
      <c r="GE81" t="e">
        <f>AND(#REF!,"AAAAAHxXG7o=")</f>
        <v>#REF!</v>
      </c>
      <c r="GF81" t="e">
        <f>AND(#REF!,"AAAAAHxXG7s=")</f>
        <v>#REF!</v>
      </c>
      <c r="GG81" t="e">
        <f>AND(#REF!,"AAAAAHxXG7w=")</f>
        <v>#REF!</v>
      </c>
      <c r="GH81" t="e">
        <f>AND(#REF!,"AAAAAHxXG70=")</f>
        <v>#REF!</v>
      </c>
      <c r="GI81" t="e">
        <f>AND(#REF!,"AAAAAHxXG74=")</f>
        <v>#REF!</v>
      </c>
      <c r="GJ81" t="e">
        <f>AND(#REF!,"AAAAAHxXG78=")</f>
        <v>#REF!</v>
      </c>
      <c r="GK81" t="e">
        <f>AND(#REF!,"AAAAAHxXG8A=")</f>
        <v>#REF!</v>
      </c>
      <c r="GL81" t="e">
        <f>AND(#REF!,"AAAAAHxXG8E=")</f>
        <v>#REF!</v>
      </c>
      <c r="GM81" t="e">
        <f>AND(#REF!,"AAAAAHxXG8I=")</f>
        <v>#REF!</v>
      </c>
      <c r="GN81" t="e">
        <f>AND(#REF!,"AAAAAHxXG8M=")</f>
        <v>#REF!</v>
      </c>
      <c r="GO81" t="e">
        <f>AND(#REF!,"AAAAAHxXG8Q=")</f>
        <v>#REF!</v>
      </c>
      <c r="GP81" t="e">
        <f>AND(#REF!,"AAAAAHxXG8U=")</f>
        <v>#REF!</v>
      </c>
      <c r="GQ81" t="e">
        <f>AND(#REF!,"AAAAAHxXG8Y=")</f>
        <v>#REF!</v>
      </c>
      <c r="GR81" t="e">
        <f>AND(#REF!,"AAAAAHxXG8c=")</f>
        <v>#REF!</v>
      </c>
      <c r="GS81" t="e">
        <f>AND(#REF!,"AAAAAHxXG8g=")</f>
        <v>#REF!</v>
      </c>
      <c r="GT81" t="e">
        <f>AND(#REF!,"AAAAAHxXG8k=")</f>
        <v>#REF!</v>
      </c>
      <c r="GU81" t="e">
        <f>AND(#REF!,"AAAAAHxXG8o=")</f>
        <v>#REF!</v>
      </c>
      <c r="GV81" t="e">
        <f>AND(#REF!,"AAAAAHxXG8s=")</f>
        <v>#REF!</v>
      </c>
      <c r="GW81" t="e">
        <f>AND(#REF!,"AAAAAHxXG8w=")</f>
        <v>#REF!</v>
      </c>
      <c r="GX81" t="e">
        <f>AND(#REF!,"AAAAAHxXG80=")</f>
        <v>#REF!</v>
      </c>
      <c r="GY81" t="e">
        <f>AND(#REF!,"AAAAAHxXG84=")</f>
        <v>#REF!</v>
      </c>
      <c r="GZ81" t="e">
        <f>AND(#REF!,"AAAAAHxXG88=")</f>
        <v>#REF!</v>
      </c>
      <c r="HA81" t="e">
        <f>AND(#REF!,"AAAAAHxXG9A=")</f>
        <v>#REF!</v>
      </c>
      <c r="HB81" t="e">
        <f>AND(#REF!,"AAAAAHxXG9E=")</f>
        <v>#REF!</v>
      </c>
      <c r="HC81" t="e">
        <f>AND(#REF!,"AAAAAHxXG9I=")</f>
        <v>#REF!</v>
      </c>
      <c r="HD81" t="e">
        <f>AND(#REF!,"AAAAAHxXG9M=")</f>
        <v>#REF!</v>
      </c>
      <c r="HE81" t="e">
        <f>AND(#REF!,"AAAAAHxXG9Q=")</f>
        <v>#REF!</v>
      </c>
      <c r="HF81" t="e">
        <f>AND(#REF!,"AAAAAHxXG9U=")</f>
        <v>#REF!</v>
      </c>
      <c r="HG81" t="e">
        <f>AND(#REF!,"AAAAAHxXG9Y=")</f>
        <v>#REF!</v>
      </c>
      <c r="HH81" t="e">
        <f>AND(#REF!,"AAAAAHxXG9c=")</f>
        <v>#REF!</v>
      </c>
      <c r="HI81" t="e">
        <f>AND(#REF!,"AAAAAHxXG9g=")</f>
        <v>#REF!</v>
      </c>
      <c r="HJ81" t="e">
        <f>AND(#REF!,"AAAAAHxXG9k=")</f>
        <v>#REF!</v>
      </c>
      <c r="HK81" t="e">
        <f>AND(#REF!,"AAAAAHxXG9o=")</f>
        <v>#REF!</v>
      </c>
      <c r="HL81" t="e">
        <f>AND(#REF!,"AAAAAHxXG9s=")</f>
        <v>#REF!</v>
      </c>
      <c r="HM81" t="e">
        <f>AND(#REF!,"AAAAAHxXG9w=")</f>
        <v>#REF!</v>
      </c>
      <c r="HN81" t="e">
        <f>AND(#REF!,"AAAAAHxXG90=")</f>
        <v>#REF!</v>
      </c>
      <c r="HO81" t="e">
        <f>AND(#REF!,"AAAAAHxXG94=")</f>
        <v>#REF!</v>
      </c>
      <c r="HP81" t="e">
        <f>AND(#REF!,"AAAAAHxXG98=")</f>
        <v>#REF!</v>
      </c>
      <c r="HQ81" t="e">
        <f>AND(#REF!,"AAAAAHxXG+A=")</f>
        <v>#REF!</v>
      </c>
      <c r="HR81" t="e">
        <f>AND(#REF!,"AAAAAHxXG+E=")</f>
        <v>#REF!</v>
      </c>
      <c r="HS81" t="e">
        <f>AND(#REF!,"AAAAAHxXG+I=")</f>
        <v>#REF!</v>
      </c>
      <c r="HT81" t="e">
        <f>AND(#REF!,"AAAAAHxXG+M=")</f>
        <v>#REF!</v>
      </c>
      <c r="HU81" t="e">
        <f>AND(#REF!,"AAAAAHxXG+Q=")</f>
        <v>#REF!</v>
      </c>
      <c r="HV81" t="e">
        <f>AND(#REF!,"AAAAAHxXG+U=")</f>
        <v>#REF!</v>
      </c>
      <c r="HW81" t="e">
        <f>AND(#REF!,"AAAAAHxXG+Y=")</f>
        <v>#REF!</v>
      </c>
      <c r="HX81" t="e">
        <f>AND(#REF!,"AAAAAHxXG+c=")</f>
        <v>#REF!</v>
      </c>
      <c r="HY81" t="e">
        <f>AND(#REF!,"AAAAAHxXG+g=")</f>
        <v>#REF!</v>
      </c>
      <c r="HZ81" t="e">
        <f>AND(#REF!,"AAAAAHxXG+k=")</f>
        <v>#REF!</v>
      </c>
      <c r="IA81" t="e">
        <f>IF(#REF!,"AAAAAHxXG+o=",0)</f>
        <v>#REF!</v>
      </c>
      <c r="IB81" t="e">
        <f>AND(#REF!,"AAAAAHxXG+s=")</f>
        <v>#REF!</v>
      </c>
      <c r="IC81" t="e">
        <f>AND(#REF!,"AAAAAHxXG+w=")</f>
        <v>#REF!</v>
      </c>
      <c r="ID81" t="e">
        <f>AND(#REF!,"AAAAAHxXG+0=")</f>
        <v>#REF!</v>
      </c>
      <c r="IE81" t="e">
        <f>AND(#REF!,"AAAAAHxXG+4=")</f>
        <v>#REF!</v>
      </c>
      <c r="IF81" t="e">
        <f>AND(#REF!,"AAAAAHxXG+8=")</f>
        <v>#REF!</v>
      </c>
      <c r="IG81" t="e">
        <f>AND(#REF!,"AAAAAHxXG/A=")</f>
        <v>#REF!</v>
      </c>
      <c r="IH81" t="e">
        <f>AND(#REF!,"AAAAAHxXG/E=")</f>
        <v>#REF!</v>
      </c>
      <c r="II81" t="e">
        <f>AND(#REF!,"AAAAAHxXG/I=")</f>
        <v>#REF!</v>
      </c>
      <c r="IJ81" t="e">
        <f>AND(#REF!,"AAAAAHxXG/M=")</f>
        <v>#REF!</v>
      </c>
      <c r="IK81" t="e">
        <f>AND(#REF!,"AAAAAHxXG/Q=")</f>
        <v>#REF!</v>
      </c>
      <c r="IL81" t="e">
        <f>AND(#REF!,"AAAAAHxXG/U=")</f>
        <v>#REF!</v>
      </c>
      <c r="IM81" t="e">
        <f>AND(#REF!,"AAAAAHxXG/Y=")</f>
        <v>#REF!</v>
      </c>
      <c r="IN81" t="e">
        <f>AND(#REF!,"AAAAAHxXG/c=")</f>
        <v>#REF!</v>
      </c>
      <c r="IO81" t="e">
        <f>AND(#REF!,"AAAAAHxXG/g=")</f>
        <v>#REF!</v>
      </c>
      <c r="IP81" t="e">
        <f>AND(#REF!,"AAAAAHxXG/k=")</f>
        <v>#REF!</v>
      </c>
      <c r="IQ81" t="e">
        <f>AND(#REF!,"AAAAAHxXG/o=")</f>
        <v>#REF!</v>
      </c>
      <c r="IR81" t="e">
        <f>AND(#REF!,"AAAAAHxXG/s=")</f>
        <v>#REF!</v>
      </c>
      <c r="IS81" t="e">
        <f>AND(#REF!,"AAAAAHxXG/w=")</f>
        <v>#REF!</v>
      </c>
      <c r="IT81" t="e">
        <f>AND(#REF!,"AAAAAHxXG/0=")</f>
        <v>#REF!</v>
      </c>
      <c r="IU81" t="e">
        <f>AND(#REF!,"AAAAAHxXG/4=")</f>
        <v>#REF!</v>
      </c>
      <c r="IV81" t="e">
        <f>AND(#REF!,"AAAAAHxXG/8=")</f>
        <v>#REF!</v>
      </c>
    </row>
    <row r="82" spans="1:256" x14ac:dyDescent="0.25">
      <c r="A82" t="e">
        <f>AND(#REF!,"AAAAAH67/wA=")</f>
        <v>#REF!</v>
      </c>
      <c r="B82" t="e">
        <f>AND(#REF!,"AAAAAH67/wE=")</f>
        <v>#REF!</v>
      </c>
      <c r="C82" t="e">
        <f>AND(#REF!,"AAAAAH67/wI=")</f>
        <v>#REF!</v>
      </c>
      <c r="D82" t="e">
        <f>AND(#REF!,"AAAAAH67/wM=")</f>
        <v>#REF!</v>
      </c>
      <c r="E82" t="e">
        <f>AND(#REF!,"AAAAAH67/wQ=")</f>
        <v>#REF!</v>
      </c>
      <c r="F82" t="e">
        <f>AND(#REF!,"AAAAAH67/wU=")</f>
        <v>#REF!</v>
      </c>
      <c r="G82" t="e">
        <f>AND(#REF!,"AAAAAH67/wY=")</f>
        <v>#REF!</v>
      </c>
      <c r="H82" t="e">
        <f>AND(#REF!,"AAAAAH67/wc=")</f>
        <v>#REF!</v>
      </c>
      <c r="I82" t="e">
        <f>AND(#REF!,"AAAAAH67/wg=")</f>
        <v>#REF!</v>
      </c>
      <c r="J82" t="e">
        <f>AND(#REF!,"AAAAAH67/wk=")</f>
        <v>#REF!</v>
      </c>
      <c r="K82" t="e">
        <f>AND(#REF!,"AAAAAH67/wo=")</f>
        <v>#REF!</v>
      </c>
      <c r="L82" t="e">
        <f>AND(#REF!,"AAAAAH67/ws=")</f>
        <v>#REF!</v>
      </c>
      <c r="M82" t="e">
        <f>AND(#REF!,"AAAAAH67/ww=")</f>
        <v>#REF!</v>
      </c>
      <c r="N82" t="e">
        <f>AND(#REF!,"AAAAAH67/w0=")</f>
        <v>#REF!</v>
      </c>
      <c r="O82" t="e">
        <f>AND(#REF!,"AAAAAH67/w4=")</f>
        <v>#REF!</v>
      </c>
      <c r="P82" t="e">
        <f>AND(#REF!,"AAAAAH67/w8=")</f>
        <v>#REF!</v>
      </c>
      <c r="Q82" t="e">
        <f>AND(#REF!,"AAAAAH67/xA=")</f>
        <v>#REF!</v>
      </c>
      <c r="R82" t="e">
        <f>AND(#REF!,"AAAAAH67/xE=")</f>
        <v>#REF!</v>
      </c>
      <c r="S82" t="e">
        <f>AND(#REF!,"AAAAAH67/xI=")</f>
        <v>#REF!</v>
      </c>
      <c r="T82" t="e">
        <f>AND(#REF!,"AAAAAH67/xM=")</f>
        <v>#REF!</v>
      </c>
      <c r="U82" t="e">
        <f>AND(#REF!,"AAAAAH67/xQ=")</f>
        <v>#REF!</v>
      </c>
      <c r="V82" t="e">
        <f>AND(#REF!,"AAAAAH67/xU=")</f>
        <v>#REF!</v>
      </c>
      <c r="W82" t="e">
        <f>AND(#REF!,"AAAAAH67/xY=")</f>
        <v>#REF!</v>
      </c>
      <c r="X82" t="e">
        <f>AND(#REF!,"AAAAAH67/xc=")</f>
        <v>#REF!</v>
      </c>
      <c r="Y82" t="e">
        <f>AND(#REF!,"AAAAAH67/xg=")</f>
        <v>#REF!</v>
      </c>
      <c r="Z82" t="e">
        <f>AND(#REF!,"AAAAAH67/xk=")</f>
        <v>#REF!</v>
      </c>
      <c r="AA82" t="e">
        <f>AND(#REF!,"AAAAAH67/xo=")</f>
        <v>#REF!</v>
      </c>
      <c r="AB82" t="e">
        <f>AND(#REF!,"AAAAAH67/xs=")</f>
        <v>#REF!</v>
      </c>
      <c r="AC82" t="e">
        <f>AND(#REF!,"AAAAAH67/xw=")</f>
        <v>#REF!</v>
      </c>
      <c r="AD82" t="e">
        <f>AND(#REF!,"AAAAAH67/x0=")</f>
        <v>#REF!</v>
      </c>
      <c r="AE82" t="e">
        <f>AND(#REF!,"AAAAAH67/x4=")</f>
        <v>#REF!</v>
      </c>
      <c r="AF82" t="e">
        <f>AND(#REF!,"AAAAAH67/x8=")</f>
        <v>#REF!</v>
      </c>
      <c r="AG82" t="e">
        <f>AND(#REF!,"AAAAAH67/yA=")</f>
        <v>#REF!</v>
      </c>
      <c r="AH82" t="e">
        <f>IF(#REF!,"AAAAAH67/yE=",0)</f>
        <v>#REF!</v>
      </c>
      <c r="AI82" t="e">
        <f>AND(#REF!,"AAAAAH67/yI=")</f>
        <v>#REF!</v>
      </c>
      <c r="AJ82" t="e">
        <f>AND(#REF!,"AAAAAH67/yM=")</f>
        <v>#REF!</v>
      </c>
      <c r="AK82" t="e">
        <f>AND(#REF!,"AAAAAH67/yQ=")</f>
        <v>#REF!</v>
      </c>
      <c r="AL82" t="e">
        <f>AND(#REF!,"AAAAAH67/yU=")</f>
        <v>#REF!</v>
      </c>
      <c r="AM82" t="e">
        <f>AND(#REF!,"AAAAAH67/yY=")</f>
        <v>#REF!</v>
      </c>
      <c r="AN82" t="e">
        <f>AND(#REF!,"AAAAAH67/yc=")</f>
        <v>#REF!</v>
      </c>
      <c r="AO82" t="e">
        <f>AND(#REF!,"AAAAAH67/yg=")</f>
        <v>#REF!</v>
      </c>
      <c r="AP82" t="e">
        <f>AND(#REF!,"AAAAAH67/yk=")</f>
        <v>#REF!</v>
      </c>
      <c r="AQ82" t="e">
        <f>AND(#REF!,"AAAAAH67/yo=")</f>
        <v>#REF!</v>
      </c>
      <c r="AR82" t="e">
        <f>AND(#REF!,"AAAAAH67/ys=")</f>
        <v>#REF!</v>
      </c>
      <c r="AS82" t="e">
        <f>AND(#REF!,"AAAAAH67/yw=")</f>
        <v>#REF!</v>
      </c>
      <c r="AT82" t="e">
        <f>AND(#REF!,"AAAAAH67/y0=")</f>
        <v>#REF!</v>
      </c>
      <c r="AU82" t="e">
        <f>AND(#REF!,"AAAAAH67/y4=")</f>
        <v>#REF!</v>
      </c>
      <c r="AV82" t="e">
        <f>AND(#REF!,"AAAAAH67/y8=")</f>
        <v>#REF!</v>
      </c>
      <c r="AW82" t="e">
        <f>AND(#REF!,"AAAAAH67/zA=")</f>
        <v>#REF!</v>
      </c>
      <c r="AX82" t="e">
        <f>AND(#REF!,"AAAAAH67/zE=")</f>
        <v>#REF!</v>
      </c>
      <c r="AY82" t="e">
        <f>AND(#REF!,"AAAAAH67/zI=")</f>
        <v>#REF!</v>
      </c>
      <c r="AZ82" t="e">
        <f>AND(#REF!,"AAAAAH67/zM=")</f>
        <v>#REF!</v>
      </c>
      <c r="BA82" t="e">
        <f>AND(#REF!,"AAAAAH67/zQ=")</f>
        <v>#REF!</v>
      </c>
      <c r="BB82" t="e">
        <f>AND(#REF!,"AAAAAH67/zU=")</f>
        <v>#REF!</v>
      </c>
      <c r="BC82" t="e">
        <f>AND(#REF!,"AAAAAH67/zY=")</f>
        <v>#REF!</v>
      </c>
      <c r="BD82" t="e">
        <f>AND(#REF!,"AAAAAH67/zc=")</f>
        <v>#REF!</v>
      </c>
      <c r="BE82" t="e">
        <f>AND(#REF!,"AAAAAH67/zg=")</f>
        <v>#REF!</v>
      </c>
      <c r="BF82" t="e">
        <f>AND(#REF!,"AAAAAH67/zk=")</f>
        <v>#REF!</v>
      </c>
      <c r="BG82" t="e">
        <f>AND(#REF!,"AAAAAH67/zo=")</f>
        <v>#REF!</v>
      </c>
      <c r="BH82" t="e">
        <f>AND(#REF!,"AAAAAH67/zs=")</f>
        <v>#REF!</v>
      </c>
      <c r="BI82" t="e">
        <f>AND(#REF!,"AAAAAH67/zw=")</f>
        <v>#REF!</v>
      </c>
      <c r="BJ82" t="e">
        <f>AND(#REF!,"AAAAAH67/z0=")</f>
        <v>#REF!</v>
      </c>
      <c r="BK82" t="e">
        <f>AND(#REF!,"AAAAAH67/z4=")</f>
        <v>#REF!</v>
      </c>
      <c r="BL82" t="e">
        <f>AND(#REF!,"AAAAAH67/z8=")</f>
        <v>#REF!</v>
      </c>
      <c r="BM82" t="e">
        <f>AND(#REF!,"AAAAAH67/0A=")</f>
        <v>#REF!</v>
      </c>
      <c r="BN82" t="e">
        <f>AND(#REF!,"AAAAAH67/0E=")</f>
        <v>#REF!</v>
      </c>
      <c r="BO82" t="e">
        <f>AND(#REF!,"AAAAAH67/0I=")</f>
        <v>#REF!</v>
      </c>
      <c r="BP82" t="e">
        <f>AND(#REF!,"AAAAAH67/0M=")</f>
        <v>#REF!</v>
      </c>
      <c r="BQ82" t="e">
        <f>AND(#REF!,"AAAAAH67/0Q=")</f>
        <v>#REF!</v>
      </c>
      <c r="BR82" t="e">
        <f>AND(#REF!,"AAAAAH67/0U=")</f>
        <v>#REF!</v>
      </c>
      <c r="BS82" t="e">
        <f>AND(#REF!,"AAAAAH67/0Y=")</f>
        <v>#REF!</v>
      </c>
      <c r="BT82" t="e">
        <f>AND(#REF!,"AAAAAH67/0c=")</f>
        <v>#REF!</v>
      </c>
      <c r="BU82" t="e">
        <f>AND(#REF!,"AAAAAH67/0g=")</f>
        <v>#REF!</v>
      </c>
      <c r="BV82" t="e">
        <f>AND(#REF!,"AAAAAH67/0k=")</f>
        <v>#REF!</v>
      </c>
      <c r="BW82" t="e">
        <f>AND(#REF!,"AAAAAH67/0o=")</f>
        <v>#REF!</v>
      </c>
      <c r="BX82" t="e">
        <f>AND(#REF!,"AAAAAH67/0s=")</f>
        <v>#REF!</v>
      </c>
      <c r="BY82" t="e">
        <f>AND(#REF!,"AAAAAH67/0w=")</f>
        <v>#REF!</v>
      </c>
      <c r="BZ82" t="e">
        <f>AND(#REF!,"AAAAAH67/00=")</f>
        <v>#REF!</v>
      </c>
      <c r="CA82" t="e">
        <f>AND(#REF!,"AAAAAH67/04=")</f>
        <v>#REF!</v>
      </c>
      <c r="CB82" t="e">
        <f>AND(#REF!,"AAAAAH67/08=")</f>
        <v>#REF!</v>
      </c>
      <c r="CC82" t="e">
        <f>AND(#REF!,"AAAAAH67/1A=")</f>
        <v>#REF!</v>
      </c>
      <c r="CD82" t="e">
        <f>AND(#REF!,"AAAAAH67/1E=")</f>
        <v>#REF!</v>
      </c>
      <c r="CE82" t="e">
        <f>AND(#REF!,"AAAAAH67/1I=")</f>
        <v>#REF!</v>
      </c>
      <c r="CF82" t="e">
        <f>AND(#REF!,"AAAAAH67/1M=")</f>
        <v>#REF!</v>
      </c>
      <c r="CG82" t="e">
        <f>AND(#REF!,"AAAAAH67/1Q=")</f>
        <v>#REF!</v>
      </c>
      <c r="CH82" t="e">
        <f>AND(#REF!,"AAAAAH67/1U=")</f>
        <v>#REF!</v>
      </c>
      <c r="CI82" t="e">
        <f>AND(#REF!,"AAAAAH67/1Y=")</f>
        <v>#REF!</v>
      </c>
      <c r="CJ82" t="e">
        <f>AND(#REF!,"AAAAAH67/1c=")</f>
        <v>#REF!</v>
      </c>
      <c r="CK82" t="e">
        <f>IF(#REF!,"AAAAAH67/1g=",0)</f>
        <v>#REF!</v>
      </c>
      <c r="CL82" t="e">
        <f>AND(#REF!,"AAAAAH67/1k=")</f>
        <v>#REF!</v>
      </c>
      <c r="CM82" t="e">
        <f>AND(#REF!,"AAAAAH67/1o=")</f>
        <v>#REF!</v>
      </c>
      <c r="CN82" t="e">
        <f>AND(#REF!,"AAAAAH67/1s=")</f>
        <v>#REF!</v>
      </c>
      <c r="CO82" t="e">
        <f>AND(#REF!,"AAAAAH67/1w=")</f>
        <v>#REF!</v>
      </c>
      <c r="CP82" t="e">
        <f>AND(#REF!,"AAAAAH67/10=")</f>
        <v>#REF!</v>
      </c>
      <c r="CQ82" t="e">
        <f>AND(#REF!,"AAAAAH67/14=")</f>
        <v>#REF!</v>
      </c>
      <c r="CR82" t="e">
        <f>AND(#REF!,"AAAAAH67/18=")</f>
        <v>#REF!</v>
      </c>
      <c r="CS82" t="e">
        <f>AND(#REF!,"AAAAAH67/2A=")</f>
        <v>#REF!</v>
      </c>
      <c r="CT82" t="e">
        <f>AND(#REF!,"AAAAAH67/2E=")</f>
        <v>#REF!</v>
      </c>
      <c r="CU82" t="e">
        <f>AND(#REF!,"AAAAAH67/2I=")</f>
        <v>#REF!</v>
      </c>
      <c r="CV82" t="e">
        <f>AND(#REF!,"AAAAAH67/2M=")</f>
        <v>#REF!</v>
      </c>
      <c r="CW82" t="e">
        <f>AND(#REF!,"AAAAAH67/2Q=")</f>
        <v>#REF!</v>
      </c>
      <c r="CX82" t="e">
        <f>AND(#REF!,"AAAAAH67/2U=")</f>
        <v>#REF!</v>
      </c>
      <c r="CY82" t="e">
        <f>AND(#REF!,"AAAAAH67/2Y=")</f>
        <v>#REF!</v>
      </c>
      <c r="CZ82" t="e">
        <f>AND(#REF!,"AAAAAH67/2c=")</f>
        <v>#REF!</v>
      </c>
      <c r="DA82" t="e">
        <f>AND(#REF!,"AAAAAH67/2g=")</f>
        <v>#REF!</v>
      </c>
      <c r="DB82" t="e">
        <f>AND(#REF!,"AAAAAH67/2k=")</f>
        <v>#REF!</v>
      </c>
      <c r="DC82" t="e">
        <f>AND(#REF!,"AAAAAH67/2o=")</f>
        <v>#REF!</v>
      </c>
      <c r="DD82" t="e">
        <f>AND(#REF!,"AAAAAH67/2s=")</f>
        <v>#REF!</v>
      </c>
      <c r="DE82" t="e">
        <f>AND(#REF!,"AAAAAH67/2w=")</f>
        <v>#REF!</v>
      </c>
      <c r="DF82" t="e">
        <f>AND(#REF!,"AAAAAH67/20=")</f>
        <v>#REF!</v>
      </c>
      <c r="DG82" t="e">
        <f>AND(#REF!,"AAAAAH67/24=")</f>
        <v>#REF!</v>
      </c>
      <c r="DH82" t="e">
        <f>AND(#REF!,"AAAAAH67/28=")</f>
        <v>#REF!</v>
      </c>
      <c r="DI82" t="e">
        <f>AND(#REF!,"AAAAAH67/3A=")</f>
        <v>#REF!</v>
      </c>
      <c r="DJ82" t="e">
        <f>AND(#REF!,"AAAAAH67/3E=")</f>
        <v>#REF!</v>
      </c>
      <c r="DK82" t="e">
        <f>AND(#REF!,"AAAAAH67/3I=")</f>
        <v>#REF!</v>
      </c>
      <c r="DL82" t="e">
        <f>AND(#REF!,"AAAAAH67/3M=")</f>
        <v>#REF!</v>
      </c>
      <c r="DM82" t="e">
        <f>AND(#REF!,"AAAAAH67/3Q=")</f>
        <v>#REF!</v>
      </c>
      <c r="DN82" t="e">
        <f>AND(#REF!,"AAAAAH67/3U=")</f>
        <v>#REF!</v>
      </c>
      <c r="DO82" t="e">
        <f>AND(#REF!,"AAAAAH67/3Y=")</f>
        <v>#REF!</v>
      </c>
      <c r="DP82" t="e">
        <f>AND(#REF!,"AAAAAH67/3c=")</f>
        <v>#REF!</v>
      </c>
      <c r="DQ82" t="e">
        <f>AND(#REF!,"AAAAAH67/3g=")</f>
        <v>#REF!</v>
      </c>
      <c r="DR82" t="e">
        <f>AND(#REF!,"AAAAAH67/3k=")</f>
        <v>#REF!</v>
      </c>
      <c r="DS82" t="e">
        <f>AND(#REF!,"AAAAAH67/3o=")</f>
        <v>#REF!</v>
      </c>
      <c r="DT82" t="e">
        <f>AND(#REF!,"AAAAAH67/3s=")</f>
        <v>#REF!</v>
      </c>
      <c r="DU82" t="e">
        <f>AND(#REF!,"AAAAAH67/3w=")</f>
        <v>#REF!</v>
      </c>
      <c r="DV82" t="e">
        <f>AND(#REF!,"AAAAAH67/30=")</f>
        <v>#REF!</v>
      </c>
      <c r="DW82" t="e">
        <f>AND(#REF!,"AAAAAH67/34=")</f>
        <v>#REF!</v>
      </c>
      <c r="DX82" t="e">
        <f>AND(#REF!,"AAAAAH67/38=")</f>
        <v>#REF!</v>
      </c>
      <c r="DY82" t="e">
        <f>AND(#REF!,"AAAAAH67/4A=")</f>
        <v>#REF!</v>
      </c>
      <c r="DZ82" t="e">
        <f>AND(#REF!,"AAAAAH67/4E=")</f>
        <v>#REF!</v>
      </c>
      <c r="EA82" t="e">
        <f>AND(#REF!,"AAAAAH67/4I=")</f>
        <v>#REF!</v>
      </c>
      <c r="EB82" t="e">
        <f>AND(#REF!,"AAAAAH67/4M=")</f>
        <v>#REF!</v>
      </c>
      <c r="EC82" t="e">
        <f>AND(#REF!,"AAAAAH67/4Q=")</f>
        <v>#REF!</v>
      </c>
      <c r="ED82" t="e">
        <f>AND(#REF!,"AAAAAH67/4U=")</f>
        <v>#REF!</v>
      </c>
      <c r="EE82" t="e">
        <f>AND(#REF!,"AAAAAH67/4Y=")</f>
        <v>#REF!</v>
      </c>
      <c r="EF82" t="e">
        <f>AND(#REF!,"AAAAAH67/4c=")</f>
        <v>#REF!</v>
      </c>
      <c r="EG82" t="e">
        <f>AND(#REF!,"AAAAAH67/4g=")</f>
        <v>#REF!</v>
      </c>
      <c r="EH82" t="e">
        <f>AND(#REF!,"AAAAAH67/4k=")</f>
        <v>#REF!</v>
      </c>
      <c r="EI82" t="e">
        <f>AND(#REF!,"AAAAAH67/4o=")</f>
        <v>#REF!</v>
      </c>
      <c r="EJ82" t="e">
        <f>AND(#REF!,"AAAAAH67/4s=")</f>
        <v>#REF!</v>
      </c>
      <c r="EK82" t="e">
        <f>AND(#REF!,"AAAAAH67/4w=")</f>
        <v>#REF!</v>
      </c>
      <c r="EL82" t="e">
        <f>AND(#REF!,"AAAAAH67/40=")</f>
        <v>#REF!</v>
      </c>
      <c r="EM82" t="e">
        <f>AND(#REF!,"AAAAAH67/44=")</f>
        <v>#REF!</v>
      </c>
      <c r="EN82" t="e">
        <f>IF(#REF!,"AAAAAH67/48=",0)</f>
        <v>#REF!</v>
      </c>
      <c r="EO82" t="e">
        <f>AND(#REF!,"AAAAAH67/5A=")</f>
        <v>#REF!</v>
      </c>
      <c r="EP82" t="e">
        <f>AND(#REF!,"AAAAAH67/5E=")</f>
        <v>#REF!</v>
      </c>
      <c r="EQ82" t="e">
        <f>AND(#REF!,"AAAAAH67/5I=")</f>
        <v>#REF!</v>
      </c>
      <c r="ER82" t="e">
        <f>AND(#REF!,"AAAAAH67/5M=")</f>
        <v>#REF!</v>
      </c>
      <c r="ES82" t="e">
        <f>AND(#REF!,"AAAAAH67/5Q=")</f>
        <v>#REF!</v>
      </c>
      <c r="ET82" t="e">
        <f>AND(#REF!,"AAAAAH67/5U=")</f>
        <v>#REF!</v>
      </c>
      <c r="EU82" t="e">
        <f>AND(#REF!,"AAAAAH67/5Y=")</f>
        <v>#REF!</v>
      </c>
      <c r="EV82" t="e">
        <f>AND(#REF!,"AAAAAH67/5c=")</f>
        <v>#REF!</v>
      </c>
      <c r="EW82" t="e">
        <f>AND(#REF!,"AAAAAH67/5g=")</f>
        <v>#REF!</v>
      </c>
      <c r="EX82" t="e">
        <f>AND(#REF!,"AAAAAH67/5k=")</f>
        <v>#REF!</v>
      </c>
      <c r="EY82" t="e">
        <f>AND(#REF!,"AAAAAH67/5o=")</f>
        <v>#REF!</v>
      </c>
      <c r="EZ82" t="e">
        <f>AND(#REF!,"AAAAAH67/5s=")</f>
        <v>#REF!</v>
      </c>
      <c r="FA82" t="e">
        <f>AND(#REF!,"AAAAAH67/5w=")</f>
        <v>#REF!</v>
      </c>
      <c r="FB82" t="e">
        <f>AND(#REF!,"AAAAAH67/50=")</f>
        <v>#REF!</v>
      </c>
      <c r="FC82" t="e">
        <f>AND(#REF!,"AAAAAH67/54=")</f>
        <v>#REF!</v>
      </c>
      <c r="FD82" t="e">
        <f>AND(#REF!,"AAAAAH67/58=")</f>
        <v>#REF!</v>
      </c>
      <c r="FE82" t="e">
        <f>AND(#REF!,"AAAAAH67/6A=")</f>
        <v>#REF!</v>
      </c>
      <c r="FF82" t="e">
        <f>AND(#REF!,"AAAAAH67/6E=")</f>
        <v>#REF!</v>
      </c>
      <c r="FG82" t="e">
        <f>AND(#REF!,"AAAAAH67/6I=")</f>
        <v>#REF!</v>
      </c>
      <c r="FH82" t="e">
        <f>AND(#REF!,"AAAAAH67/6M=")</f>
        <v>#REF!</v>
      </c>
      <c r="FI82" t="e">
        <f>AND(#REF!,"AAAAAH67/6Q=")</f>
        <v>#REF!</v>
      </c>
      <c r="FJ82" t="e">
        <f>AND(#REF!,"AAAAAH67/6U=")</f>
        <v>#REF!</v>
      </c>
      <c r="FK82" t="e">
        <f>AND(#REF!,"AAAAAH67/6Y=")</f>
        <v>#REF!</v>
      </c>
      <c r="FL82" t="e">
        <f>AND(#REF!,"AAAAAH67/6c=")</f>
        <v>#REF!</v>
      </c>
      <c r="FM82" t="e">
        <f>AND(#REF!,"AAAAAH67/6g=")</f>
        <v>#REF!</v>
      </c>
      <c r="FN82" t="e">
        <f>AND(#REF!,"AAAAAH67/6k=")</f>
        <v>#REF!</v>
      </c>
      <c r="FO82" t="e">
        <f>AND(#REF!,"AAAAAH67/6o=")</f>
        <v>#REF!</v>
      </c>
      <c r="FP82" t="e">
        <f>AND(#REF!,"AAAAAH67/6s=")</f>
        <v>#REF!</v>
      </c>
      <c r="FQ82" t="e">
        <f>AND(#REF!,"AAAAAH67/6w=")</f>
        <v>#REF!</v>
      </c>
      <c r="FR82" t="e">
        <f>AND(#REF!,"AAAAAH67/60=")</f>
        <v>#REF!</v>
      </c>
      <c r="FS82" t="e">
        <f>AND(#REF!,"AAAAAH67/64=")</f>
        <v>#REF!</v>
      </c>
      <c r="FT82" t="e">
        <f>AND(#REF!,"AAAAAH67/68=")</f>
        <v>#REF!</v>
      </c>
      <c r="FU82" t="e">
        <f>AND(#REF!,"AAAAAH67/7A=")</f>
        <v>#REF!</v>
      </c>
      <c r="FV82" t="e">
        <f>AND(#REF!,"AAAAAH67/7E=")</f>
        <v>#REF!</v>
      </c>
      <c r="FW82" t="e">
        <f>AND(#REF!,"AAAAAH67/7I=")</f>
        <v>#REF!</v>
      </c>
      <c r="FX82" t="e">
        <f>AND(#REF!,"AAAAAH67/7M=")</f>
        <v>#REF!</v>
      </c>
      <c r="FY82" t="e">
        <f>AND(#REF!,"AAAAAH67/7Q=")</f>
        <v>#REF!</v>
      </c>
      <c r="FZ82" t="e">
        <f>AND(#REF!,"AAAAAH67/7U=")</f>
        <v>#REF!</v>
      </c>
      <c r="GA82" t="e">
        <f>AND(#REF!,"AAAAAH67/7Y=")</f>
        <v>#REF!</v>
      </c>
      <c r="GB82" t="e">
        <f>AND(#REF!,"AAAAAH67/7c=")</f>
        <v>#REF!</v>
      </c>
      <c r="GC82" t="e">
        <f>AND(#REF!,"AAAAAH67/7g=")</f>
        <v>#REF!</v>
      </c>
      <c r="GD82" t="e">
        <f>AND(#REF!,"AAAAAH67/7k=")</f>
        <v>#REF!</v>
      </c>
      <c r="GE82" t="e">
        <f>AND(#REF!,"AAAAAH67/7o=")</f>
        <v>#REF!</v>
      </c>
      <c r="GF82" t="e">
        <f>AND(#REF!,"AAAAAH67/7s=")</f>
        <v>#REF!</v>
      </c>
      <c r="GG82" t="e">
        <f>AND(#REF!,"AAAAAH67/7w=")</f>
        <v>#REF!</v>
      </c>
      <c r="GH82" t="e">
        <f>AND(#REF!,"AAAAAH67/70=")</f>
        <v>#REF!</v>
      </c>
      <c r="GI82" t="e">
        <f>AND(#REF!,"AAAAAH67/74=")</f>
        <v>#REF!</v>
      </c>
      <c r="GJ82" t="e">
        <f>AND(#REF!,"AAAAAH67/78=")</f>
        <v>#REF!</v>
      </c>
      <c r="GK82" t="e">
        <f>AND(#REF!,"AAAAAH67/8A=")</f>
        <v>#REF!</v>
      </c>
      <c r="GL82" t="e">
        <f>AND(#REF!,"AAAAAH67/8E=")</f>
        <v>#REF!</v>
      </c>
      <c r="GM82" t="e">
        <f>AND(#REF!,"AAAAAH67/8I=")</f>
        <v>#REF!</v>
      </c>
      <c r="GN82" t="e">
        <f>AND(#REF!,"AAAAAH67/8M=")</f>
        <v>#REF!</v>
      </c>
      <c r="GO82" t="e">
        <f>AND(#REF!,"AAAAAH67/8Q=")</f>
        <v>#REF!</v>
      </c>
      <c r="GP82" t="e">
        <f>AND(#REF!,"AAAAAH67/8U=")</f>
        <v>#REF!</v>
      </c>
      <c r="GQ82" t="e">
        <f>IF(#REF!,"AAAAAH67/8Y=",0)</f>
        <v>#REF!</v>
      </c>
      <c r="GR82" t="e">
        <f>AND(#REF!,"AAAAAH67/8c=")</f>
        <v>#REF!</v>
      </c>
      <c r="GS82" t="e">
        <f>AND(#REF!,"AAAAAH67/8g=")</f>
        <v>#REF!</v>
      </c>
      <c r="GT82" t="e">
        <f>AND(#REF!,"AAAAAH67/8k=")</f>
        <v>#REF!</v>
      </c>
      <c r="GU82" t="e">
        <f>AND(#REF!,"AAAAAH67/8o=")</f>
        <v>#REF!</v>
      </c>
      <c r="GV82" t="e">
        <f>AND(#REF!,"AAAAAH67/8s=")</f>
        <v>#REF!</v>
      </c>
      <c r="GW82" t="e">
        <f>AND(#REF!,"AAAAAH67/8w=")</f>
        <v>#REF!</v>
      </c>
      <c r="GX82" t="e">
        <f>AND(#REF!,"AAAAAH67/80=")</f>
        <v>#REF!</v>
      </c>
      <c r="GY82" t="e">
        <f>AND(#REF!,"AAAAAH67/84=")</f>
        <v>#REF!</v>
      </c>
      <c r="GZ82" t="e">
        <f>AND(#REF!,"AAAAAH67/88=")</f>
        <v>#REF!</v>
      </c>
      <c r="HA82" t="e">
        <f>AND(#REF!,"AAAAAH67/9A=")</f>
        <v>#REF!</v>
      </c>
      <c r="HB82" t="e">
        <f>AND(#REF!,"AAAAAH67/9E=")</f>
        <v>#REF!</v>
      </c>
      <c r="HC82" t="e">
        <f>AND(#REF!,"AAAAAH67/9I=")</f>
        <v>#REF!</v>
      </c>
      <c r="HD82" t="e">
        <f>AND(#REF!,"AAAAAH67/9M=")</f>
        <v>#REF!</v>
      </c>
      <c r="HE82" t="e">
        <f>AND(#REF!,"AAAAAH67/9Q=")</f>
        <v>#REF!</v>
      </c>
      <c r="HF82" t="e">
        <f>AND(#REF!,"AAAAAH67/9U=")</f>
        <v>#REF!</v>
      </c>
      <c r="HG82" t="e">
        <f>AND(#REF!,"AAAAAH67/9Y=")</f>
        <v>#REF!</v>
      </c>
      <c r="HH82" t="e">
        <f>AND(#REF!,"AAAAAH67/9c=")</f>
        <v>#REF!</v>
      </c>
      <c r="HI82" t="e">
        <f>AND(#REF!,"AAAAAH67/9g=")</f>
        <v>#REF!</v>
      </c>
      <c r="HJ82" t="e">
        <f>AND(#REF!,"AAAAAH67/9k=")</f>
        <v>#REF!</v>
      </c>
      <c r="HK82" t="e">
        <f>AND(#REF!,"AAAAAH67/9o=")</f>
        <v>#REF!</v>
      </c>
      <c r="HL82" t="e">
        <f>AND(#REF!,"AAAAAH67/9s=")</f>
        <v>#REF!</v>
      </c>
      <c r="HM82" t="e">
        <f>AND(#REF!,"AAAAAH67/9w=")</f>
        <v>#REF!</v>
      </c>
      <c r="HN82" t="e">
        <f>AND(#REF!,"AAAAAH67/90=")</f>
        <v>#REF!</v>
      </c>
      <c r="HO82" t="e">
        <f>AND(#REF!,"AAAAAH67/94=")</f>
        <v>#REF!</v>
      </c>
      <c r="HP82" t="e">
        <f>AND(#REF!,"AAAAAH67/98=")</f>
        <v>#REF!</v>
      </c>
      <c r="HQ82" t="e">
        <f>AND(#REF!,"AAAAAH67/+A=")</f>
        <v>#REF!</v>
      </c>
      <c r="HR82" t="e">
        <f>AND(#REF!,"AAAAAH67/+E=")</f>
        <v>#REF!</v>
      </c>
      <c r="HS82" t="e">
        <f>AND(#REF!,"AAAAAH67/+I=")</f>
        <v>#REF!</v>
      </c>
      <c r="HT82" t="e">
        <f>AND(#REF!,"AAAAAH67/+M=")</f>
        <v>#REF!</v>
      </c>
      <c r="HU82" t="e">
        <f>AND(#REF!,"AAAAAH67/+Q=")</f>
        <v>#REF!</v>
      </c>
      <c r="HV82" t="e">
        <f>AND(#REF!,"AAAAAH67/+U=")</f>
        <v>#REF!</v>
      </c>
      <c r="HW82" t="e">
        <f>AND(#REF!,"AAAAAH67/+Y=")</f>
        <v>#REF!</v>
      </c>
      <c r="HX82" t="e">
        <f>AND(#REF!,"AAAAAH67/+c=")</f>
        <v>#REF!</v>
      </c>
      <c r="HY82" t="e">
        <f>AND(#REF!,"AAAAAH67/+g=")</f>
        <v>#REF!</v>
      </c>
      <c r="HZ82" t="e">
        <f>AND(#REF!,"AAAAAH67/+k=")</f>
        <v>#REF!</v>
      </c>
      <c r="IA82" t="e">
        <f>AND(#REF!,"AAAAAH67/+o=")</f>
        <v>#REF!</v>
      </c>
      <c r="IB82" t="e">
        <f>AND(#REF!,"AAAAAH67/+s=")</f>
        <v>#REF!</v>
      </c>
      <c r="IC82" t="e">
        <f>AND(#REF!,"AAAAAH67/+w=")</f>
        <v>#REF!</v>
      </c>
      <c r="ID82" t="e">
        <f>AND(#REF!,"AAAAAH67/+0=")</f>
        <v>#REF!</v>
      </c>
      <c r="IE82" t="e">
        <f>AND(#REF!,"AAAAAH67/+4=")</f>
        <v>#REF!</v>
      </c>
      <c r="IF82" t="e">
        <f>AND(#REF!,"AAAAAH67/+8=")</f>
        <v>#REF!</v>
      </c>
      <c r="IG82" t="e">
        <f>AND(#REF!,"AAAAAH67//A=")</f>
        <v>#REF!</v>
      </c>
      <c r="IH82" t="e">
        <f>AND(#REF!,"AAAAAH67//E=")</f>
        <v>#REF!</v>
      </c>
      <c r="II82" t="e">
        <f>AND(#REF!,"AAAAAH67//I=")</f>
        <v>#REF!</v>
      </c>
      <c r="IJ82" t="e">
        <f>AND(#REF!,"AAAAAH67//M=")</f>
        <v>#REF!</v>
      </c>
      <c r="IK82" t="e">
        <f>AND(#REF!,"AAAAAH67//Q=")</f>
        <v>#REF!</v>
      </c>
      <c r="IL82" t="e">
        <f>AND(#REF!,"AAAAAH67//U=")</f>
        <v>#REF!</v>
      </c>
      <c r="IM82" t="e">
        <f>AND(#REF!,"AAAAAH67//Y=")</f>
        <v>#REF!</v>
      </c>
      <c r="IN82" t="e">
        <f>AND(#REF!,"AAAAAH67//c=")</f>
        <v>#REF!</v>
      </c>
      <c r="IO82" t="e">
        <f>AND(#REF!,"AAAAAH67//g=")</f>
        <v>#REF!</v>
      </c>
      <c r="IP82" t="e">
        <f>AND(#REF!,"AAAAAH67//k=")</f>
        <v>#REF!</v>
      </c>
      <c r="IQ82" t="e">
        <f>AND(#REF!,"AAAAAH67//o=")</f>
        <v>#REF!</v>
      </c>
      <c r="IR82" t="e">
        <f>AND(#REF!,"AAAAAH67//s=")</f>
        <v>#REF!</v>
      </c>
      <c r="IS82" t="e">
        <f>AND(#REF!,"AAAAAH67//w=")</f>
        <v>#REF!</v>
      </c>
      <c r="IT82" t="e">
        <f>IF(#REF!,"AAAAAH67//0=",0)</f>
        <v>#REF!</v>
      </c>
      <c r="IU82" t="e">
        <f>AND(#REF!,"AAAAAH67//4=")</f>
        <v>#REF!</v>
      </c>
      <c r="IV82" t="e">
        <f>AND(#REF!,"AAAAAH67//8=")</f>
        <v>#REF!</v>
      </c>
    </row>
    <row r="83" spans="1:256" x14ac:dyDescent="0.25">
      <c r="A83" t="e">
        <f>AND(#REF!,"AAAAAF99ngA=")</f>
        <v>#REF!</v>
      </c>
      <c r="B83" t="e">
        <f>AND(#REF!,"AAAAAF99ngE=")</f>
        <v>#REF!</v>
      </c>
      <c r="C83" t="e">
        <f>AND(#REF!,"AAAAAF99ngI=")</f>
        <v>#REF!</v>
      </c>
      <c r="D83" t="e">
        <f>AND(#REF!,"AAAAAF99ngM=")</f>
        <v>#REF!</v>
      </c>
      <c r="E83" t="e">
        <f>AND(#REF!,"AAAAAF99ngQ=")</f>
        <v>#REF!</v>
      </c>
      <c r="F83" t="e">
        <f>AND(#REF!,"AAAAAF99ngU=")</f>
        <v>#REF!</v>
      </c>
      <c r="G83" t="e">
        <f>AND(#REF!,"AAAAAF99ngY=")</f>
        <v>#REF!</v>
      </c>
      <c r="H83" t="e">
        <f>AND(#REF!,"AAAAAF99ngc=")</f>
        <v>#REF!</v>
      </c>
      <c r="I83" t="e">
        <f>AND(#REF!,"AAAAAF99ngg=")</f>
        <v>#REF!</v>
      </c>
      <c r="J83" t="e">
        <f>AND(#REF!,"AAAAAF99ngk=")</f>
        <v>#REF!</v>
      </c>
      <c r="K83" t="e">
        <f>AND(#REF!,"AAAAAF99ngo=")</f>
        <v>#REF!</v>
      </c>
      <c r="L83" t="e">
        <f>AND(#REF!,"AAAAAF99ngs=")</f>
        <v>#REF!</v>
      </c>
      <c r="M83" t="e">
        <f>AND(#REF!,"AAAAAF99ngw=")</f>
        <v>#REF!</v>
      </c>
      <c r="N83" t="e">
        <f>AND(#REF!,"AAAAAF99ng0=")</f>
        <v>#REF!</v>
      </c>
      <c r="O83" t="e">
        <f>AND(#REF!,"AAAAAF99ng4=")</f>
        <v>#REF!</v>
      </c>
      <c r="P83" t="e">
        <f>AND(#REF!,"AAAAAF99ng8=")</f>
        <v>#REF!</v>
      </c>
      <c r="Q83" t="e">
        <f>AND(#REF!,"AAAAAF99nhA=")</f>
        <v>#REF!</v>
      </c>
      <c r="R83" t="e">
        <f>AND(#REF!,"AAAAAF99nhE=")</f>
        <v>#REF!</v>
      </c>
      <c r="S83" t="e">
        <f>AND(#REF!,"AAAAAF99nhI=")</f>
        <v>#REF!</v>
      </c>
      <c r="T83" t="e">
        <f>AND(#REF!,"AAAAAF99nhM=")</f>
        <v>#REF!</v>
      </c>
      <c r="U83" t="e">
        <f>AND(#REF!,"AAAAAF99nhQ=")</f>
        <v>#REF!</v>
      </c>
      <c r="V83" t="e">
        <f>AND(#REF!,"AAAAAF99nhU=")</f>
        <v>#REF!</v>
      </c>
      <c r="W83" t="e">
        <f>AND(#REF!,"AAAAAF99nhY=")</f>
        <v>#REF!</v>
      </c>
      <c r="X83" t="e">
        <f>AND(#REF!,"AAAAAF99nhc=")</f>
        <v>#REF!</v>
      </c>
      <c r="Y83" t="e">
        <f>AND(#REF!,"AAAAAF99nhg=")</f>
        <v>#REF!</v>
      </c>
      <c r="Z83" t="e">
        <f>AND(#REF!,"AAAAAF99nhk=")</f>
        <v>#REF!</v>
      </c>
      <c r="AA83" t="e">
        <f>AND(#REF!,"AAAAAF99nho=")</f>
        <v>#REF!</v>
      </c>
      <c r="AB83" t="e">
        <f>AND(#REF!,"AAAAAF99nhs=")</f>
        <v>#REF!</v>
      </c>
      <c r="AC83" t="e">
        <f>AND(#REF!,"AAAAAF99nhw=")</f>
        <v>#REF!</v>
      </c>
      <c r="AD83" t="e">
        <f>AND(#REF!,"AAAAAF99nh0=")</f>
        <v>#REF!</v>
      </c>
      <c r="AE83" t="e">
        <f>AND(#REF!,"AAAAAF99nh4=")</f>
        <v>#REF!</v>
      </c>
      <c r="AF83" t="e">
        <f>AND(#REF!,"AAAAAF99nh8=")</f>
        <v>#REF!</v>
      </c>
      <c r="AG83" t="e">
        <f>AND(#REF!,"AAAAAF99niA=")</f>
        <v>#REF!</v>
      </c>
      <c r="AH83" t="e">
        <f>AND(#REF!,"AAAAAF99niE=")</f>
        <v>#REF!</v>
      </c>
      <c r="AI83" t="e">
        <f>AND(#REF!,"AAAAAF99niI=")</f>
        <v>#REF!</v>
      </c>
      <c r="AJ83" t="e">
        <f>AND(#REF!,"AAAAAF99niM=")</f>
        <v>#REF!</v>
      </c>
      <c r="AK83" t="e">
        <f>AND(#REF!,"AAAAAF99niQ=")</f>
        <v>#REF!</v>
      </c>
      <c r="AL83" t="e">
        <f>AND(#REF!,"AAAAAF99niU=")</f>
        <v>#REF!</v>
      </c>
      <c r="AM83" t="e">
        <f>AND(#REF!,"AAAAAF99niY=")</f>
        <v>#REF!</v>
      </c>
      <c r="AN83" t="e">
        <f>AND(#REF!,"AAAAAF99nic=")</f>
        <v>#REF!</v>
      </c>
      <c r="AO83" t="e">
        <f>AND(#REF!,"AAAAAF99nig=")</f>
        <v>#REF!</v>
      </c>
      <c r="AP83" t="e">
        <f>AND(#REF!,"AAAAAF99nik=")</f>
        <v>#REF!</v>
      </c>
      <c r="AQ83" t="e">
        <f>AND(#REF!,"AAAAAF99nio=")</f>
        <v>#REF!</v>
      </c>
      <c r="AR83" t="e">
        <f>AND(#REF!,"AAAAAF99nis=")</f>
        <v>#REF!</v>
      </c>
      <c r="AS83" t="e">
        <f>AND(#REF!,"AAAAAF99niw=")</f>
        <v>#REF!</v>
      </c>
      <c r="AT83" t="e">
        <f>AND(#REF!,"AAAAAF99ni0=")</f>
        <v>#REF!</v>
      </c>
      <c r="AU83" t="e">
        <f>AND(#REF!,"AAAAAF99ni4=")</f>
        <v>#REF!</v>
      </c>
      <c r="AV83" t="e">
        <f>AND(#REF!,"AAAAAF99ni8=")</f>
        <v>#REF!</v>
      </c>
      <c r="AW83" t="e">
        <f>AND(#REF!,"AAAAAF99njA=")</f>
        <v>#REF!</v>
      </c>
      <c r="AX83" t="e">
        <f>AND(#REF!,"AAAAAF99njE=")</f>
        <v>#REF!</v>
      </c>
      <c r="AY83" t="e">
        <f>AND(#REF!,"AAAAAF99njI=")</f>
        <v>#REF!</v>
      </c>
      <c r="AZ83" t="e">
        <f>AND(#REF!,"AAAAAF99njM=")</f>
        <v>#REF!</v>
      </c>
      <c r="BA83" t="e">
        <f>IF(#REF!,"AAAAAF99njQ=",0)</f>
        <v>#REF!</v>
      </c>
      <c r="BB83" t="e">
        <f>AND(#REF!,"AAAAAF99njU=")</f>
        <v>#REF!</v>
      </c>
      <c r="BC83" t="e">
        <f>AND(#REF!,"AAAAAF99njY=")</f>
        <v>#REF!</v>
      </c>
      <c r="BD83" t="e">
        <f>AND(#REF!,"AAAAAF99njc=")</f>
        <v>#REF!</v>
      </c>
      <c r="BE83" t="e">
        <f>AND(#REF!,"AAAAAF99njg=")</f>
        <v>#REF!</v>
      </c>
      <c r="BF83" t="e">
        <f>AND(#REF!,"AAAAAF99njk=")</f>
        <v>#REF!</v>
      </c>
      <c r="BG83" t="e">
        <f>AND(#REF!,"AAAAAF99njo=")</f>
        <v>#REF!</v>
      </c>
      <c r="BH83" t="e">
        <f>AND(#REF!,"AAAAAF99njs=")</f>
        <v>#REF!</v>
      </c>
      <c r="BI83" t="e">
        <f>AND(#REF!,"AAAAAF99njw=")</f>
        <v>#REF!</v>
      </c>
      <c r="BJ83" t="e">
        <f>AND(#REF!,"AAAAAF99nj0=")</f>
        <v>#REF!</v>
      </c>
      <c r="BK83" t="e">
        <f>AND(#REF!,"AAAAAF99nj4=")</f>
        <v>#REF!</v>
      </c>
      <c r="BL83" t="e">
        <f>AND(#REF!,"AAAAAF99nj8=")</f>
        <v>#REF!</v>
      </c>
      <c r="BM83" t="e">
        <f>AND(#REF!,"AAAAAF99nkA=")</f>
        <v>#REF!</v>
      </c>
      <c r="BN83" t="e">
        <f>AND(#REF!,"AAAAAF99nkE=")</f>
        <v>#REF!</v>
      </c>
      <c r="BO83" t="e">
        <f>AND(#REF!,"AAAAAF99nkI=")</f>
        <v>#REF!</v>
      </c>
      <c r="BP83" t="e">
        <f>AND(#REF!,"AAAAAF99nkM=")</f>
        <v>#REF!</v>
      </c>
      <c r="BQ83" t="e">
        <f>AND(#REF!,"AAAAAF99nkQ=")</f>
        <v>#REF!</v>
      </c>
      <c r="BR83" t="e">
        <f>AND(#REF!,"AAAAAF99nkU=")</f>
        <v>#REF!</v>
      </c>
      <c r="BS83" t="e">
        <f>AND(#REF!,"AAAAAF99nkY=")</f>
        <v>#REF!</v>
      </c>
      <c r="BT83" t="e">
        <f>AND(#REF!,"AAAAAF99nkc=")</f>
        <v>#REF!</v>
      </c>
      <c r="BU83" t="e">
        <f>AND(#REF!,"AAAAAF99nkg=")</f>
        <v>#REF!</v>
      </c>
      <c r="BV83" t="e">
        <f>AND(#REF!,"AAAAAF99nkk=")</f>
        <v>#REF!</v>
      </c>
      <c r="BW83" t="e">
        <f>AND(#REF!,"AAAAAF99nko=")</f>
        <v>#REF!</v>
      </c>
      <c r="BX83" t="e">
        <f>AND(#REF!,"AAAAAF99nks=")</f>
        <v>#REF!</v>
      </c>
      <c r="BY83" t="e">
        <f>AND(#REF!,"AAAAAF99nkw=")</f>
        <v>#REF!</v>
      </c>
      <c r="BZ83" t="e">
        <f>AND(#REF!,"AAAAAF99nk0=")</f>
        <v>#REF!</v>
      </c>
      <c r="CA83" t="e">
        <f>AND(#REF!,"AAAAAF99nk4=")</f>
        <v>#REF!</v>
      </c>
      <c r="CB83" t="e">
        <f>AND(#REF!,"AAAAAF99nk8=")</f>
        <v>#REF!</v>
      </c>
      <c r="CC83" t="e">
        <f>AND(#REF!,"AAAAAF99nlA=")</f>
        <v>#REF!</v>
      </c>
      <c r="CD83" t="e">
        <f>AND(#REF!,"AAAAAF99nlE=")</f>
        <v>#REF!</v>
      </c>
      <c r="CE83" t="e">
        <f>AND(#REF!,"AAAAAF99nlI=")</f>
        <v>#REF!</v>
      </c>
      <c r="CF83" t="e">
        <f>AND(#REF!,"AAAAAF99nlM=")</f>
        <v>#REF!</v>
      </c>
      <c r="CG83" t="e">
        <f>AND(#REF!,"AAAAAF99nlQ=")</f>
        <v>#REF!</v>
      </c>
      <c r="CH83" t="e">
        <f>AND(#REF!,"AAAAAF99nlU=")</f>
        <v>#REF!</v>
      </c>
      <c r="CI83" t="e">
        <f>AND(#REF!,"AAAAAF99nlY=")</f>
        <v>#REF!</v>
      </c>
      <c r="CJ83" t="e">
        <f>AND(#REF!,"AAAAAF99nlc=")</f>
        <v>#REF!</v>
      </c>
      <c r="CK83" t="e">
        <f>AND(#REF!,"AAAAAF99nlg=")</f>
        <v>#REF!</v>
      </c>
      <c r="CL83" t="e">
        <f>AND(#REF!,"AAAAAF99nlk=")</f>
        <v>#REF!</v>
      </c>
      <c r="CM83" t="e">
        <f>AND(#REF!,"AAAAAF99nlo=")</f>
        <v>#REF!</v>
      </c>
      <c r="CN83" t="e">
        <f>AND(#REF!,"AAAAAF99nls=")</f>
        <v>#REF!</v>
      </c>
      <c r="CO83" t="e">
        <f>AND(#REF!,"AAAAAF99nlw=")</f>
        <v>#REF!</v>
      </c>
      <c r="CP83" t="e">
        <f>AND(#REF!,"AAAAAF99nl0=")</f>
        <v>#REF!</v>
      </c>
      <c r="CQ83" t="e">
        <f>AND(#REF!,"AAAAAF99nl4=")</f>
        <v>#REF!</v>
      </c>
      <c r="CR83" t="e">
        <f>AND(#REF!,"AAAAAF99nl8=")</f>
        <v>#REF!</v>
      </c>
      <c r="CS83" t="e">
        <f>AND(#REF!,"AAAAAF99nmA=")</f>
        <v>#REF!</v>
      </c>
      <c r="CT83" t="e">
        <f>AND(#REF!,"AAAAAF99nmE=")</f>
        <v>#REF!</v>
      </c>
      <c r="CU83" t="e">
        <f>AND(#REF!,"AAAAAF99nmI=")</f>
        <v>#REF!</v>
      </c>
      <c r="CV83" t="e">
        <f>AND(#REF!,"AAAAAF99nmM=")</f>
        <v>#REF!</v>
      </c>
      <c r="CW83" t="e">
        <f>AND(#REF!,"AAAAAF99nmQ=")</f>
        <v>#REF!</v>
      </c>
      <c r="CX83" t="e">
        <f>AND(#REF!,"AAAAAF99nmU=")</f>
        <v>#REF!</v>
      </c>
      <c r="CY83" t="e">
        <f>AND(#REF!,"AAAAAF99nmY=")</f>
        <v>#REF!</v>
      </c>
      <c r="CZ83" t="e">
        <f>AND(#REF!,"AAAAAF99nmc=")</f>
        <v>#REF!</v>
      </c>
      <c r="DA83" t="e">
        <f>AND(#REF!,"AAAAAF99nmg=")</f>
        <v>#REF!</v>
      </c>
      <c r="DB83" t="e">
        <f>AND(#REF!,"AAAAAF99nmk=")</f>
        <v>#REF!</v>
      </c>
      <c r="DC83" t="e">
        <f>AND(#REF!,"AAAAAF99nmo=")</f>
        <v>#REF!</v>
      </c>
      <c r="DD83" t="e">
        <f>IF(#REF!,"AAAAAF99nms=",0)</f>
        <v>#REF!</v>
      </c>
      <c r="DE83" t="e">
        <f>AND(#REF!,"AAAAAF99nmw=")</f>
        <v>#REF!</v>
      </c>
      <c r="DF83" t="e">
        <f>AND(#REF!,"AAAAAF99nm0=")</f>
        <v>#REF!</v>
      </c>
      <c r="DG83" t="e">
        <f>AND(#REF!,"AAAAAF99nm4=")</f>
        <v>#REF!</v>
      </c>
      <c r="DH83" t="e">
        <f>AND(#REF!,"AAAAAF99nm8=")</f>
        <v>#REF!</v>
      </c>
      <c r="DI83" t="e">
        <f>AND(#REF!,"AAAAAF99nnA=")</f>
        <v>#REF!</v>
      </c>
      <c r="DJ83" t="e">
        <f>AND(#REF!,"AAAAAF99nnE=")</f>
        <v>#REF!</v>
      </c>
      <c r="DK83" t="e">
        <f>AND(#REF!,"AAAAAF99nnI=")</f>
        <v>#REF!</v>
      </c>
      <c r="DL83" t="e">
        <f>AND(#REF!,"AAAAAF99nnM=")</f>
        <v>#REF!</v>
      </c>
      <c r="DM83" t="e">
        <f>AND(#REF!,"AAAAAF99nnQ=")</f>
        <v>#REF!</v>
      </c>
      <c r="DN83" t="e">
        <f>AND(#REF!,"AAAAAF99nnU=")</f>
        <v>#REF!</v>
      </c>
      <c r="DO83" t="e">
        <f>AND(#REF!,"AAAAAF99nnY=")</f>
        <v>#REF!</v>
      </c>
      <c r="DP83" t="e">
        <f>AND(#REF!,"AAAAAF99nnc=")</f>
        <v>#REF!</v>
      </c>
      <c r="DQ83" t="e">
        <f>AND(#REF!,"AAAAAF99nng=")</f>
        <v>#REF!</v>
      </c>
      <c r="DR83" t="e">
        <f>AND(#REF!,"AAAAAF99nnk=")</f>
        <v>#REF!</v>
      </c>
      <c r="DS83" t="e">
        <f>AND(#REF!,"AAAAAF99nno=")</f>
        <v>#REF!</v>
      </c>
      <c r="DT83" t="e">
        <f>AND(#REF!,"AAAAAF99nns=")</f>
        <v>#REF!</v>
      </c>
      <c r="DU83" t="e">
        <f>AND(#REF!,"AAAAAF99nnw=")</f>
        <v>#REF!</v>
      </c>
      <c r="DV83" t="e">
        <f>AND(#REF!,"AAAAAF99nn0=")</f>
        <v>#REF!</v>
      </c>
      <c r="DW83" t="e">
        <f>AND(#REF!,"AAAAAF99nn4=")</f>
        <v>#REF!</v>
      </c>
      <c r="DX83" t="e">
        <f>AND(#REF!,"AAAAAF99nn8=")</f>
        <v>#REF!</v>
      </c>
      <c r="DY83" t="e">
        <f>AND(#REF!,"AAAAAF99noA=")</f>
        <v>#REF!</v>
      </c>
      <c r="DZ83" t="e">
        <f>AND(#REF!,"AAAAAF99noE=")</f>
        <v>#REF!</v>
      </c>
      <c r="EA83" t="e">
        <f>AND(#REF!,"AAAAAF99noI=")</f>
        <v>#REF!</v>
      </c>
      <c r="EB83" t="e">
        <f>AND(#REF!,"AAAAAF99noM=")</f>
        <v>#REF!</v>
      </c>
      <c r="EC83" t="e">
        <f>AND(#REF!,"AAAAAF99noQ=")</f>
        <v>#REF!</v>
      </c>
      <c r="ED83" t="e">
        <f>AND(#REF!,"AAAAAF99noU=")</f>
        <v>#REF!</v>
      </c>
      <c r="EE83" t="e">
        <f>AND(#REF!,"AAAAAF99noY=")</f>
        <v>#REF!</v>
      </c>
      <c r="EF83" t="e">
        <f>AND(#REF!,"AAAAAF99noc=")</f>
        <v>#REF!</v>
      </c>
      <c r="EG83" t="e">
        <f>AND(#REF!,"AAAAAF99nog=")</f>
        <v>#REF!</v>
      </c>
      <c r="EH83" t="e">
        <f>AND(#REF!,"AAAAAF99nok=")</f>
        <v>#REF!</v>
      </c>
      <c r="EI83" t="e">
        <f>AND(#REF!,"AAAAAF99noo=")</f>
        <v>#REF!</v>
      </c>
      <c r="EJ83" t="e">
        <f>AND(#REF!,"AAAAAF99nos=")</f>
        <v>#REF!</v>
      </c>
      <c r="EK83" t="e">
        <f>AND(#REF!,"AAAAAF99now=")</f>
        <v>#REF!</v>
      </c>
      <c r="EL83" t="e">
        <f>AND(#REF!,"AAAAAF99no0=")</f>
        <v>#REF!</v>
      </c>
      <c r="EM83" t="e">
        <f>AND(#REF!,"AAAAAF99no4=")</f>
        <v>#REF!</v>
      </c>
      <c r="EN83" t="e">
        <f>AND(#REF!,"AAAAAF99no8=")</f>
        <v>#REF!</v>
      </c>
      <c r="EO83" t="e">
        <f>AND(#REF!,"AAAAAF99npA=")</f>
        <v>#REF!</v>
      </c>
      <c r="EP83" t="e">
        <f>AND(#REF!,"AAAAAF99npE=")</f>
        <v>#REF!</v>
      </c>
      <c r="EQ83" t="e">
        <f>AND(#REF!,"AAAAAF99npI=")</f>
        <v>#REF!</v>
      </c>
      <c r="ER83" t="e">
        <f>AND(#REF!,"AAAAAF99npM=")</f>
        <v>#REF!</v>
      </c>
      <c r="ES83" t="e">
        <f>AND(#REF!,"AAAAAF99npQ=")</f>
        <v>#REF!</v>
      </c>
      <c r="ET83" t="e">
        <f>AND(#REF!,"AAAAAF99npU=")</f>
        <v>#REF!</v>
      </c>
      <c r="EU83" t="e">
        <f>AND(#REF!,"AAAAAF99npY=")</f>
        <v>#REF!</v>
      </c>
      <c r="EV83" t="e">
        <f>AND(#REF!,"AAAAAF99npc=")</f>
        <v>#REF!</v>
      </c>
      <c r="EW83" t="e">
        <f>AND(#REF!,"AAAAAF99npg=")</f>
        <v>#REF!</v>
      </c>
      <c r="EX83" t="e">
        <f>AND(#REF!,"AAAAAF99npk=")</f>
        <v>#REF!</v>
      </c>
      <c r="EY83" t="e">
        <f>AND(#REF!,"AAAAAF99npo=")</f>
        <v>#REF!</v>
      </c>
      <c r="EZ83" t="e">
        <f>AND(#REF!,"AAAAAF99nps=")</f>
        <v>#REF!</v>
      </c>
      <c r="FA83" t="e">
        <f>AND(#REF!,"AAAAAF99npw=")</f>
        <v>#REF!</v>
      </c>
      <c r="FB83" t="e">
        <f>AND(#REF!,"AAAAAF99np0=")</f>
        <v>#REF!</v>
      </c>
      <c r="FC83" t="e">
        <f>AND(#REF!,"AAAAAF99np4=")</f>
        <v>#REF!</v>
      </c>
      <c r="FD83" t="e">
        <f>AND(#REF!,"AAAAAF99np8=")</f>
        <v>#REF!</v>
      </c>
      <c r="FE83" t="e">
        <f>AND(#REF!,"AAAAAF99nqA=")</f>
        <v>#REF!</v>
      </c>
      <c r="FF83" t="e">
        <f>AND(#REF!,"AAAAAF99nqE=")</f>
        <v>#REF!</v>
      </c>
      <c r="FG83" t="e">
        <f>IF(#REF!,"AAAAAF99nqI=",0)</f>
        <v>#REF!</v>
      </c>
      <c r="FH83" t="e">
        <f>AND(#REF!,"AAAAAF99nqM=")</f>
        <v>#REF!</v>
      </c>
      <c r="FI83" t="e">
        <f>AND(#REF!,"AAAAAF99nqQ=")</f>
        <v>#REF!</v>
      </c>
      <c r="FJ83" t="e">
        <f>AND(#REF!,"AAAAAF99nqU=")</f>
        <v>#REF!</v>
      </c>
      <c r="FK83" t="e">
        <f>AND(#REF!,"AAAAAF99nqY=")</f>
        <v>#REF!</v>
      </c>
      <c r="FL83" t="e">
        <f>AND(#REF!,"AAAAAF99nqc=")</f>
        <v>#REF!</v>
      </c>
      <c r="FM83" t="e">
        <f>AND(#REF!,"AAAAAF99nqg=")</f>
        <v>#REF!</v>
      </c>
      <c r="FN83" t="e">
        <f>AND(#REF!,"AAAAAF99nqk=")</f>
        <v>#REF!</v>
      </c>
      <c r="FO83" t="e">
        <f>AND(#REF!,"AAAAAF99nqo=")</f>
        <v>#REF!</v>
      </c>
      <c r="FP83" t="e">
        <f>AND(#REF!,"AAAAAF99nqs=")</f>
        <v>#REF!</v>
      </c>
      <c r="FQ83" t="e">
        <f>AND(#REF!,"AAAAAF99nqw=")</f>
        <v>#REF!</v>
      </c>
      <c r="FR83" t="e">
        <f>AND(#REF!,"AAAAAF99nq0=")</f>
        <v>#REF!</v>
      </c>
      <c r="FS83" t="e">
        <f>AND(#REF!,"AAAAAF99nq4=")</f>
        <v>#REF!</v>
      </c>
      <c r="FT83" t="e">
        <f>AND(#REF!,"AAAAAF99nq8=")</f>
        <v>#REF!</v>
      </c>
      <c r="FU83" t="e">
        <f>AND(#REF!,"AAAAAF99nrA=")</f>
        <v>#REF!</v>
      </c>
      <c r="FV83" t="e">
        <f>AND(#REF!,"AAAAAF99nrE=")</f>
        <v>#REF!</v>
      </c>
      <c r="FW83" t="e">
        <f>AND(#REF!,"AAAAAF99nrI=")</f>
        <v>#REF!</v>
      </c>
      <c r="FX83" t="e">
        <f>AND(#REF!,"AAAAAF99nrM=")</f>
        <v>#REF!</v>
      </c>
      <c r="FY83" t="e">
        <f>AND(#REF!,"AAAAAF99nrQ=")</f>
        <v>#REF!</v>
      </c>
      <c r="FZ83" t="e">
        <f>AND(#REF!,"AAAAAF99nrU=")</f>
        <v>#REF!</v>
      </c>
      <c r="GA83" t="e">
        <f>AND(#REF!,"AAAAAF99nrY=")</f>
        <v>#REF!</v>
      </c>
      <c r="GB83" t="e">
        <f>AND(#REF!,"AAAAAF99nrc=")</f>
        <v>#REF!</v>
      </c>
      <c r="GC83" t="e">
        <f>AND(#REF!,"AAAAAF99nrg=")</f>
        <v>#REF!</v>
      </c>
      <c r="GD83" t="e">
        <f>AND(#REF!,"AAAAAF99nrk=")</f>
        <v>#REF!</v>
      </c>
      <c r="GE83" t="e">
        <f>AND(#REF!,"AAAAAF99nro=")</f>
        <v>#REF!</v>
      </c>
      <c r="GF83" t="e">
        <f>AND(#REF!,"AAAAAF99nrs=")</f>
        <v>#REF!</v>
      </c>
      <c r="GG83" t="e">
        <f>AND(#REF!,"AAAAAF99nrw=")</f>
        <v>#REF!</v>
      </c>
      <c r="GH83" t="e">
        <f>AND(#REF!,"AAAAAF99nr0=")</f>
        <v>#REF!</v>
      </c>
      <c r="GI83" t="e">
        <f>AND(#REF!,"AAAAAF99nr4=")</f>
        <v>#REF!</v>
      </c>
      <c r="GJ83" t="e">
        <f>AND(#REF!,"AAAAAF99nr8=")</f>
        <v>#REF!</v>
      </c>
      <c r="GK83" t="e">
        <f>AND(#REF!,"AAAAAF99nsA=")</f>
        <v>#REF!</v>
      </c>
      <c r="GL83" t="e">
        <f>AND(#REF!,"AAAAAF99nsE=")</f>
        <v>#REF!</v>
      </c>
      <c r="GM83" t="e">
        <f>AND(#REF!,"AAAAAF99nsI=")</f>
        <v>#REF!</v>
      </c>
      <c r="GN83" t="e">
        <f>AND(#REF!,"AAAAAF99nsM=")</f>
        <v>#REF!</v>
      </c>
      <c r="GO83" t="e">
        <f>AND(#REF!,"AAAAAF99nsQ=")</f>
        <v>#REF!</v>
      </c>
      <c r="GP83" t="e">
        <f>AND(#REF!,"AAAAAF99nsU=")</f>
        <v>#REF!</v>
      </c>
      <c r="GQ83" t="e">
        <f>AND(#REF!,"AAAAAF99nsY=")</f>
        <v>#REF!</v>
      </c>
      <c r="GR83" t="e">
        <f>AND(#REF!,"AAAAAF99nsc=")</f>
        <v>#REF!</v>
      </c>
      <c r="GS83" t="e">
        <f>AND(#REF!,"AAAAAF99nsg=")</f>
        <v>#REF!</v>
      </c>
      <c r="GT83" t="e">
        <f>AND(#REF!,"AAAAAF99nsk=")</f>
        <v>#REF!</v>
      </c>
      <c r="GU83" t="e">
        <f>AND(#REF!,"AAAAAF99nso=")</f>
        <v>#REF!</v>
      </c>
      <c r="GV83" t="e">
        <f>AND(#REF!,"AAAAAF99nss=")</f>
        <v>#REF!</v>
      </c>
      <c r="GW83" t="e">
        <f>AND(#REF!,"AAAAAF99nsw=")</f>
        <v>#REF!</v>
      </c>
      <c r="GX83" t="e">
        <f>AND(#REF!,"AAAAAF99ns0=")</f>
        <v>#REF!</v>
      </c>
      <c r="GY83" t="e">
        <f>AND(#REF!,"AAAAAF99ns4=")</f>
        <v>#REF!</v>
      </c>
      <c r="GZ83" t="e">
        <f>AND(#REF!,"AAAAAF99ns8=")</f>
        <v>#REF!</v>
      </c>
      <c r="HA83" t="e">
        <f>AND(#REF!,"AAAAAF99ntA=")</f>
        <v>#REF!</v>
      </c>
      <c r="HB83" t="e">
        <f>AND(#REF!,"AAAAAF99ntE=")</f>
        <v>#REF!</v>
      </c>
      <c r="HC83" t="e">
        <f>AND(#REF!,"AAAAAF99ntI=")</f>
        <v>#REF!</v>
      </c>
      <c r="HD83" t="e">
        <f>AND(#REF!,"AAAAAF99ntM=")</f>
        <v>#REF!</v>
      </c>
      <c r="HE83" t="e">
        <f>AND(#REF!,"AAAAAF99ntQ=")</f>
        <v>#REF!</v>
      </c>
      <c r="HF83" t="e">
        <f>AND(#REF!,"AAAAAF99ntU=")</f>
        <v>#REF!</v>
      </c>
      <c r="HG83" t="e">
        <f>AND(#REF!,"AAAAAF99ntY=")</f>
        <v>#REF!</v>
      </c>
      <c r="HH83" t="e">
        <f>AND(#REF!,"AAAAAF99ntc=")</f>
        <v>#REF!</v>
      </c>
      <c r="HI83" t="e">
        <f>AND(#REF!,"AAAAAF99ntg=")</f>
        <v>#REF!</v>
      </c>
      <c r="HJ83" t="e">
        <f>IF(#REF!,"AAAAAF99ntk=",0)</f>
        <v>#REF!</v>
      </c>
      <c r="HK83" t="e">
        <f>AND(#REF!,"AAAAAF99nto=")</f>
        <v>#REF!</v>
      </c>
      <c r="HL83" t="e">
        <f>AND(#REF!,"AAAAAF99nts=")</f>
        <v>#REF!</v>
      </c>
      <c r="HM83" t="e">
        <f>AND(#REF!,"AAAAAF99ntw=")</f>
        <v>#REF!</v>
      </c>
      <c r="HN83" t="e">
        <f>AND(#REF!,"AAAAAF99nt0=")</f>
        <v>#REF!</v>
      </c>
      <c r="HO83" t="e">
        <f>AND(#REF!,"AAAAAF99nt4=")</f>
        <v>#REF!</v>
      </c>
      <c r="HP83" t="e">
        <f>AND(#REF!,"AAAAAF99nt8=")</f>
        <v>#REF!</v>
      </c>
      <c r="HQ83" t="e">
        <f>AND(#REF!,"AAAAAF99nuA=")</f>
        <v>#REF!</v>
      </c>
      <c r="HR83" t="e">
        <f>AND(#REF!,"AAAAAF99nuE=")</f>
        <v>#REF!</v>
      </c>
      <c r="HS83" t="e">
        <f>AND(#REF!,"AAAAAF99nuI=")</f>
        <v>#REF!</v>
      </c>
      <c r="HT83" t="e">
        <f>AND(#REF!,"AAAAAF99nuM=")</f>
        <v>#REF!</v>
      </c>
      <c r="HU83" t="e">
        <f>AND(#REF!,"AAAAAF99nuQ=")</f>
        <v>#REF!</v>
      </c>
      <c r="HV83" t="e">
        <f>AND(#REF!,"AAAAAF99nuU=")</f>
        <v>#REF!</v>
      </c>
      <c r="HW83" t="e">
        <f>AND(#REF!,"AAAAAF99nuY=")</f>
        <v>#REF!</v>
      </c>
      <c r="HX83" t="e">
        <f>AND(#REF!,"AAAAAF99nuc=")</f>
        <v>#REF!</v>
      </c>
      <c r="HY83" t="e">
        <f>AND(#REF!,"AAAAAF99nug=")</f>
        <v>#REF!</v>
      </c>
      <c r="HZ83" t="e">
        <f>AND(#REF!,"AAAAAF99nuk=")</f>
        <v>#REF!</v>
      </c>
      <c r="IA83" t="e">
        <f>AND(#REF!,"AAAAAF99nuo=")</f>
        <v>#REF!</v>
      </c>
      <c r="IB83" t="e">
        <f>AND(#REF!,"AAAAAF99nus=")</f>
        <v>#REF!</v>
      </c>
      <c r="IC83" t="e">
        <f>AND(#REF!,"AAAAAF99nuw=")</f>
        <v>#REF!</v>
      </c>
      <c r="ID83" t="e">
        <f>AND(#REF!,"AAAAAF99nu0=")</f>
        <v>#REF!</v>
      </c>
      <c r="IE83" t="e">
        <f>AND(#REF!,"AAAAAF99nu4=")</f>
        <v>#REF!</v>
      </c>
      <c r="IF83" t="e">
        <f>AND(#REF!,"AAAAAF99nu8=")</f>
        <v>#REF!</v>
      </c>
      <c r="IG83" t="e">
        <f>AND(#REF!,"AAAAAF99nvA=")</f>
        <v>#REF!</v>
      </c>
      <c r="IH83" t="e">
        <f>AND(#REF!,"AAAAAF99nvE=")</f>
        <v>#REF!</v>
      </c>
      <c r="II83" t="e">
        <f>AND(#REF!,"AAAAAF99nvI=")</f>
        <v>#REF!</v>
      </c>
      <c r="IJ83" t="e">
        <f>AND(#REF!,"AAAAAF99nvM=")</f>
        <v>#REF!</v>
      </c>
      <c r="IK83" t="e">
        <f>AND(#REF!,"AAAAAF99nvQ=")</f>
        <v>#REF!</v>
      </c>
      <c r="IL83" t="e">
        <f>AND(#REF!,"AAAAAF99nvU=")</f>
        <v>#REF!</v>
      </c>
      <c r="IM83" t="e">
        <f>AND(#REF!,"AAAAAF99nvY=")</f>
        <v>#REF!</v>
      </c>
      <c r="IN83" t="e">
        <f>AND(#REF!,"AAAAAF99nvc=")</f>
        <v>#REF!</v>
      </c>
      <c r="IO83" t="e">
        <f>AND(#REF!,"AAAAAF99nvg=")</f>
        <v>#REF!</v>
      </c>
      <c r="IP83" t="e">
        <f>AND(#REF!,"AAAAAF99nvk=")</f>
        <v>#REF!</v>
      </c>
      <c r="IQ83" t="e">
        <f>AND(#REF!,"AAAAAF99nvo=")</f>
        <v>#REF!</v>
      </c>
      <c r="IR83" t="e">
        <f>AND(#REF!,"AAAAAF99nvs=")</f>
        <v>#REF!</v>
      </c>
      <c r="IS83" t="e">
        <f>AND(#REF!,"AAAAAF99nvw=")</f>
        <v>#REF!</v>
      </c>
      <c r="IT83" t="e">
        <f>AND(#REF!,"AAAAAF99nv0=")</f>
        <v>#REF!</v>
      </c>
      <c r="IU83" t="e">
        <f>AND(#REF!,"AAAAAF99nv4=")</f>
        <v>#REF!</v>
      </c>
      <c r="IV83" t="e">
        <f>AND(#REF!,"AAAAAF99nv8=")</f>
        <v>#REF!</v>
      </c>
    </row>
    <row r="84" spans="1:256" x14ac:dyDescent="0.25">
      <c r="A84" t="e">
        <f>AND(#REF!,"AAAAADMMvwA=")</f>
        <v>#REF!</v>
      </c>
      <c r="B84" t="e">
        <f>AND(#REF!,"AAAAADMMvwE=")</f>
        <v>#REF!</v>
      </c>
      <c r="C84" t="e">
        <f>AND(#REF!,"AAAAADMMvwI=")</f>
        <v>#REF!</v>
      </c>
      <c r="D84" t="e">
        <f>AND(#REF!,"AAAAADMMvwM=")</f>
        <v>#REF!</v>
      </c>
      <c r="E84" t="e">
        <f>AND(#REF!,"AAAAADMMvwQ=")</f>
        <v>#REF!</v>
      </c>
      <c r="F84" t="e">
        <f>AND(#REF!,"AAAAADMMvwU=")</f>
        <v>#REF!</v>
      </c>
      <c r="G84" t="e">
        <f>AND(#REF!,"AAAAADMMvwY=")</f>
        <v>#REF!</v>
      </c>
      <c r="H84" t="e">
        <f>AND(#REF!,"AAAAADMMvwc=")</f>
        <v>#REF!</v>
      </c>
      <c r="I84" t="e">
        <f>AND(#REF!,"AAAAADMMvwg=")</f>
        <v>#REF!</v>
      </c>
      <c r="J84" t="e">
        <f>AND(#REF!,"AAAAADMMvwk=")</f>
        <v>#REF!</v>
      </c>
      <c r="K84" t="e">
        <f>AND(#REF!,"AAAAADMMvwo=")</f>
        <v>#REF!</v>
      </c>
      <c r="L84" t="e">
        <f>AND(#REF!,"AAAAADMMvws=")</f>
        <v>#REF!</v>
      </c>
      <c r="M84" t="e">
        <f>AND(#REF!,"AAAAADMMvww=")</f>
        <v>#REF!</v>
      </c>
      <c r="N84" t="e">
        <f>AND(#REF!,"AAAAADMMvw0=")</f>
        <v>#REF!</v>
      </c>
      <c r="O84" t="e">
        <f>AND(#REF!,"AAAAADMMvw4=")</f>
        <v>#REF!</v>
      </c>
      <c r="P84" t="e">
        <f>AND(#REF!,"AAAAADMMvw8=")</f>
        <v>#REF!</v>
      </c>
      <c r="Q84" t="e">
        <f>IF(#REF!,"AAAAADMMvxA=",0)</f>
        <v>#REF!</v>
      </c>
      <c r="R84" t="e">
        <f>AND(#REF!,"AAAAADMMvxE=")</f>
        <v>#REF!</v>
      </c>
      <c r="S84" t="e">
        <f>AND(#REF!,"AAAAADMMvxI=")</f>
        <v>#REF!</v>
      </c>
      <c r="T84" t="e">
        <f>AND(#REF!,"AAAAADMMvxM=")</f>
        <v>#REF!</v>
      </c>
      <c r="U84" t="e">
        <f>AND(#REF!,"AAAAADMMvxQ=")</f>
        <v>#REF!</v>
      </c>
      <c r="V84" t="e">
        <f>AND(#REF!,"AAAAADMMvxU=")</f>
        <v>#REF!</v>
      </c>
      <c r="W84" t="e">
        <f>AND(#REF!,"AAAAADMMvxY=")</f>
        <v>#REF!</v>
      </c>
      <c r="X84" t="e">
        <f>AND(#REF!,"AAAAADMMvxc=")</f>
        <v>#REF!</v>
      </c>
      <c r="Y84" t="e">
        <f>AND(#REF!,"AAAAADMMvxg=")</f>
        <v>#REF!</v>
      </c>
      <c r="Z84" t="e">
        <f>AND(#REF!,"AAAAADMMvxk=")</f>
        <v>#REF!</v>
      </c>
      <c r="AA84" t="e">
        <f>AND(#REF!,"AAAAADMMvxo=")</f>
        <v>#REF!</v>
      </c>
      <c r="AB84" t="e">
        <f>AND(#REF!,"AAAAADMMvxs=")</f>
        <v>#REF!</v>
      </c>
      <c r="AC84" t="e">
        <f>AND(#REF!,"AAAAADMMvxw=")</f>
        <v>#REF!</v>
      </c>
      <c r="AD84" t="e">
        <f>AND(#REF!,"AAAAADMMvx0=")</f>
        <v>#REF!</v>
      </c>
      <c r="AE84" t="e">
        <f>AND(#REF!,"AAAAADMMvx4=")</f>
        <v>#REF!</v>
      </c>
      <c r="AF84" t="e">
        <f>AND(#REF!,"AAAAADMMvx8=")</f>
        <v>#REF!</v>
      </c>
      <c r="AG84" t="e">
        <f>AND(#REF!,"AAAAADMMvyA=")</f>
        <v>#REF!</v>
      </c>
      <c r="AH84" t="e">
        <f>AND(#REF!,"AAAAADMMvyE=")</f>
        <v>#REF!</v>
      </c>
      <c r="AI84" t="e">
        <f>AND(#REF!,"AAAAADMMvyI=")</f>
        <v>#REF!</v>
      </c>
      <c r="AJ84" t="e">
        <f>AND(#REF!,"AAAAADMMvyM=")</f>
        <v>#REF!</v>
      </c>
      <c r="AK84" t="e">
        <f>AND(#REF!,"AAAAADMMvyQ=")</f>
        <v>#REF!</v>
      </c>
      <c r="AL84" t="e">
        <f>AND(#REF!,"AAAAADMMvyU=")</f>
        <v>#REF!</v>
      </c>
      <c r="AM84" t="e">
        <f>AND(#REF!,"AAAAADMMvyY=")</f>
        <v>#REF!</v>
      </c>
      <c r="AN84" t="e">
        <f>AND(#REF!,"AAAAADMMvyc=")</f>
        <v>#REF!</v>
      </c>
      <c r="AO84" t="e">
        <f>AND(#REF!,"AAAAADMMvyg=")</f>
        <v>#REF!</v>
      </c>
      <c r="AP84" t="e">
        <f>AND(#REF!,"AAAAADMMvyk=")</f>
        <v>#REF!</v>
      </c>
      <c r="AQ84" t="e">
        <f>AND(#REF!,"AAAAADMMvyo=")</f>
        <v>#REF!</v>
      </c>
      <c r="AR84" t="e">
        <f>AND(#REF!,"AAAAADMMvys=")</f>
        <v>#REF!</v>
      </c>
      <c r="AS84" t="e">
        <f>AND(#REF!,"AAAAADMMvyw=")</f>
        <v>#REF!</v>
      </c>
      <c r="AT84" t="e">
        <f>AND(#REF!,"AAAAADMMvy0=")</f>
        <v>#REF!</v>
      </c>
      <c r="AU84" t="e">
        <f>AND(#REF!,"AAAAADMMvy4=")</f>
        <v>#REF!</v>
      </c>
      <c r="AV84" t="e">
        <f>AND(#REF!,"AAAAADMMvy8=")</f>
        <v>#REF!</v>
      </c>
      <c r="AW84" t="e">
        <f>AND(#REF!,"AAAAADMMvzA=")</f>
        <v>#REF!</v>
      </c>
      <c r="AX84" t="e">
        <f>AND(#REF!,"AAAAADMMvzE=")</f>
        <v>#REF!</v>
      </c>
      <c r="AY84" t="e">
        <f>AND(#REF!,"AAAAADMMvzI=")</f>
        <v>#REF!</v>
      </c>
      <c r="AZ84" t="e">
        <f>AND(#REF!,"AAAAADMMvzM=")</f>
        <v>#REF!</v>
      </c>
      <c r="BA84" t="e">
        <f>AND(#REF!,"AAAAADMMvzQ=")</f>
        <v>#REF!</v>
      </c>
      <c r="BB84" t="e">
        <f>AND(#REF!,"AAAAADMMvzU=")</f>
        <v>#REF!</v>
      </c>
      <c r="BC84" t="e">
        <f>AND(#REF!,"AAAAADMMvzY=")</f>
        <v>#REF!</v>
      </c>
      <c r="BD84" t="e">
        <f>AND(#REF!,"AAAAADMMvzc=")</f>
        <v>#REF!</v>
      </c>
      <c r="BE84" t="e">
        <f>AND(#REF!,"AAAAADMMvzg=")</f>
        <v>#REF!</v>
      </c>
      <c r="BF84" t="e">
        <f>AND(#REF!,"AAAAADMMvzk=")</f>
        <v>#REF!</v>
      </c>
      <c r="BG84" t="e">
        <f>AND(#REF!,"AAAAADMMvzo=")</f>
        <v>#REF!</v>
      </c>
      <c r="BH84" t="e">
        <f>AND(#REF!,"AAAAADMMvzs=")</f>
        <v>#REF!</v>
      </c>
      <c r="BI84" t="e">
        <f>AND(#REF!,"AAAAADMMvzw=")</f>
        <v>#REF!</v>
      </c>
      <c r="BJ84" t="e">
        <f>AND(#REF!,"AAAAADMMvz0=")</f>
        <v>#REF!</v>
      </c>
      <c r="BK84" t="e">
        <f>AND(#REF!,"AAAAADMMvz4=")</f>
        <v>#REF!</v>
      </c>
      <c r="BL84" t="e">
        <f>AND(#REF!,"AAAAADMMvz8=")</f>
        <v>#REF!</v>
      </c>
      <c r="BM84" t="e">
        <f>AND(#REF!,"AAAAADMMv0A=")</f>
        <v>#REF!</v>
      </c>
      <c r="BN84" t="e">
        <f>AND(#REF!,"AAAAADMMv0E=")</f>
        <v>#REF!</v>
      </c>
      <c r="BO84" t="e">
        <f>AND(#REF!,"AAAAADMMv0I=")</f>
        <v>#REF!</v>
      </c>
      <c r="BP84" t="e">
        <f>AND(#REF!,"AAAAADMMv0M=")</f>
        <v>#REF!</v>
      </c>
      <c r="BQ84" t="e">
        <f>AND(#REF!,"AAAAADMMv0Q=")</f>
        <v>#REF!</v>
      </c>
      <c r="BR84" t="e">
        <f>AND(#REF!,"AAAAADMMv0U=")</f>
        <v>#REF!</v>
      </c>
      <c r="BS84" t="e">
        <f>AND(#REF!,"AAAAADMMv0Y=")</f>
        <v>#REF!</v>
      </c>
      <c r="BT84" t="e">
        <f>IF(#REF!,"AAAAADMMv0c=",0)</f>
        <v>#REF!</v>
      </c>
      <c r="BU84" t="e">
        <f>AND(#REF!,"AAAAADMMv0g=")</f>
        <v>#REF!</v>
      </c>
      <c r="BV84" t="e">
        <f>AND(#REF!,"AAAAADMMv0k=")</f>
        <v>#REF!</v>
      </c>
      <c r="BW84" t="e">
        <f>AND(#REF!,"AAAAADMMv0o=")</f>
        <v>#REF!</v>
      </c>
      <c r="BX84" t="e">
        <f>AND(#REF!,"AAAAADMMv0s=")</f>
        <v>#REF!</v>
      </c>
      <c r="BY84" t="e">
        <f>AND(#REF!,"AAAAADMMv0w=")</f>
        <v>#REF!</v>
      </c>
      <c r="BZ84" t="e">
        <f>AND(#REF!,"AAAAADMMv00=")</f>
        <v>#REF!</v>
      </c>
      <c r="CA84" t="e">
        <f>AND(#REF!,"AAAAADMMv04=")</f>
        <v>#REF!</v>
      </c>
      <c r="CB84" t="e">
        <f>AND(#REF!,"AAAAADMMv08=")</f>
        <v>#REF!</v>
      </c>
      <c r="CC84" t="e">
        <f>AND(#REF!,"AAAAADMMv1A=")</f>
        <v>#REF!</v>
      </c>
      <c r="CD84" t="e">
        <f>AND(#REF!,"AAAAADMMv1E=")</f>
        <v>#REF!</v>
      </c>
      <c r="CE84" t="e">
        <f>AND(#REF!,"AAAAADMMv1I=")</f>
        <v>#REF!</v>
      </c>
      <c r="CF84" t="e">
        <f>AND(#REF!,"AAAAADMMv1M=")</f>
        <v>#REF!</v>
      </c>
      <c r="CG84" t="e">
        <f>AND(#REF!,"AAAAADMMv1Q=")</f>
        <v>#REF!</v>
      </c>
      <c r="CH84" t="e">
        <f>AND(#REF!,"AAAAADMMv1U=")</f>
        <v>#REF!</v>
      </c>
      <c r="CI84" t="e">
        <f>AND(#REF!,"AAAAADMMv1Y=")</f>
        <v>#REF!</v>
      </c>
      <c r="CJ84" t="e">
        <f>AND(#REF!,"AAAAADMMv1c=")</f>
        <v>#REF!</v>
      </c>
      <c r="CK84" t="e">
        <f>AND(#REF!,"AAAAADMMv1g=")</f>
        <v>#REF!</v>
      </c>
      <c r="CL84" t="e">
        <f>AND(#REF!,"AAAAADMMv1k=")</f>
        <v>#REF!</v>
      </c>
      <c r="CM84" t="e">
        <f>AND(#REF!,"AAAAADMMv1o=")</f>
        <v>#REF!</v>
      </c>
      <c r="CN84" t="e">
        <f>AND(#REF!,"AAAAADMMv1s=")</f>
        <v>#REF!</v>
      </c>
      <c r="CO84" t="e">
        <f>AND(#REF!,"AAAAADMMv1w=")</f>
        <v>#REF!</v>
      </c>
      <c r="CP84" t="e">
        <f>AND(#REF!,"AAAAADMMv10=")</f>
        <v>#REF!</v>
      </c>
      <c r="CQ84" t="e">
        <f>AND(#REF!,"AAAAADMMv14=")</f>
        <v>#REF!</v>
      </c>
      <c r="CR84" t="e">
        <f>AND(#REF!,"AAAAADMMv18=")</f>
        <v>#REF!</v>
      </c>
      <c r="CS84" t="e">
        <f>AND(#REF!,"AAAAADMMv2A=")</f>
        <v>#REF!</v>
      </c>
      <c r="CT84" t="e">
        <f>AND(#REF!,"AAAAADMMv2E=")</f>
        <v>#REF!</v>
      </c>
      <c r="CU84" t="e">
        <f>AND(#REF!,"AAAAADMMv2I=")</f>
        <v>#REF!</v>
      </c>
      <c r="CV84" t="e">
        <f>AND(#REF!,"AAAAADMMv2M=")</f>
        <v>#REF!</v>
      </c>
      <c r="CW84" t="e">
        <f>AND(#REF!,"AAAAADMMv2Q=")</f>
        <v>#REF!</v>
      </c>
      <c r="CX84" t="e">
        <f>AND(#REF!,"AAAAADMMv2U=")</f>
        <v>#REF!</v>
      </c>
      <c r="CY84" t="e">
        <f>AND(#REF!,"AAAAADMMv2Y=")</f>
        <v>#REF!</v>
      </c>
      <c r="CZ84" t="e">
        <f>AND(#REF!,"AAAAADMMv2c=")</f>
        <v>#REF!</v>
      </c>
      <c r="DA84" t="e">
        <f>AND(#REF!,"AAAAADMMv2g=")</f>
        <v>#REF!</v>
      </c>
      <c r="DB84" t="e">
        <f>AND(#REF!,"AAAAADMMv2k=")</f>
        <v>#REF!</v>
      </c>
      <c r="DC84" t="e">
        <f>AND(#REF!,"AAAAADMMv2o=")</f>
        <v>#REF!</v>
      </c>
      <c r="DD84" t="e">
        <f>AND(#REF!,"AAAAADMMv2s=")</f>
        <v>#REF!</v>
      </c>
      <c r="DE84" t="e">
        <f>AND(#REF!,"AAAAADMMv2w=")</f>
        <v>#REF!</v>
      </c>
      <c r="DF84" t="e">
        <f>AND(#REF!,"AAAAADMMv20=")</f>
        <v>#REF!</v>
      </c>
      <c r="DG84" t="e">
        <f>AND(#REF!,"AAAAADMMv24=")</f>
        <v>#REF!</v>
      </c>
      <c r="DH84" t="e">
        <f>AND(#REF!,"AAAAADMMv28=")</f>
        <v>#REF!</v>
      </c>
      <c r="DI84" t="e">
        <f>AND(#REF!,"AAAAADMMv3A=")</f>
        <v>#REF!</v>
      </c>
      <c r="DJ84" t="e">
        <f>AND(#REF!,"AAAAADMMv3E=")</f>
        <v>#REF!</v>
      </c>
      <c r="DK84" t="e">
        <f>AND(#REF!,"AAAAADMMv3I=")</f>
        <v>#REF!</v>
      </c>
      <c r="DL84" t="e">
        <f>AND(#REF!,"AAAAADMMv3M=")</f>
        <v>#REF!</v>
      </c>
      <c r="DM84" t="e">
        <f>AND(#REF!,"AAAAADMMv3Q=")</f>
        <v>#REF!</v>
      </c>
      <c r="DN84" t="e">
        <f>AND(#REF!,"AAAAADMMv3U=")</f>
        <v>#REF!</v>
      </c>
      <c r="DO84" t="e">
        <f>AND(#REF!,"AAAAADMMv3Y=")</f>
        <v>#REF!</v>
      </c>
      <c r="DP84" t="e">
        <f>AND(#REF!,"AAAAADMMv3c=")</f>
        <v>#REF!</v>
      </c>
      <c r="DQ84" t="e">
        <f>AND(#REF!,"AAAAADMMv3g=")</f>
        <v>#REF!</v>
      </c>
      <c r="DR84" t="e">
        <f>AND(#REF!,"AAAAADMMv3k=")</f>
        <v>#REF!</v>
      </c>
      <c r="DS84" t="e">
        <f>AND(#REF!,"AAAAADMMv3o=")</f>
        <v>#REF!</v>
      </c>
      <c r="DT84" t="e">
        <f>AND(#REF!,"AAAAADMMv3s=")</f>
        <v>#REF!</v>
      </c>
      <c r="DU84" t="e">
        <f>AND(#REF!,"AAAAADMMv3w=")</f>
        <v>#REF!</v>
      </c>
      <c r="DV84" t="e">
        <f>AND(#REF!,"AAAAADMMv30=")</f>
        <v>#REF!</v>
      </c>
      <c r="DW84" t="e">
        <f>IF(#REF!,"AAAAADMMv34=",0)</f>
        <v>#REF!</v>
      </c>
      <c r="DX84" t="e">
        <f>AND(#REF!,"AAAAADMMv38=")</f>
        <v>#REF!</v>
      </c>
      <c r="DY84" t="e">
        <f>AND(#REF!,"AAAAADMMv4A=")</f>
        <v>#REF!</v>
      </c>
      <c r="DZ84" t="e">
        <f>AND(#REF!,"AAAAADMMv4E=")</f>
        <v>#REF!</v>
      </c>
      <c r="EA84" t="e">
        <f>AND(#REF!,"AAAAADMMv4I=")</f>
        <v>#REF!</v>
      </c>
      <c r="EB84" t="e">
        <f>AND(#REF!,"AAAAADMMv4M=")</f>
        <v>#REF!</v>
      </c>
      <c r="EC84" t="e">
        <f>AND(#REF!,"AAAAADMMv4Q=")</f>
        <v>#REF!</v>
      </c>
      <c r="ED84" t="e">
        <f>AND(#REF!,"AAAAADMMv4U=")</f>
        <v>#REF!</v>
      </c>
      <c r="EE84" t="e">
        <f>AND(#REF!,"AAAAADMMv4Y=")</f>
        <v>#REF!</v>
      </c>
      <c r="EF84" t="e">
        <f>AND(#REF!,"AAAAADMMv4c=")</f>
        <v>#REF!</v>
      </c>
      <c r="EG84" t="e">
        <f>AND(#REF!,"AAAAADMMv4g=")</f>
        <v>#REF!</v>
      </c>
      <c r="EH84" t="e">
        <f>AND(#REF!,"AAAAADMMv4k=")</f>
        <v>#REF!</v>
      </c>
      <c r="EI84" t="e">
        <f>AND(#REF!,"AAAAADMMv4o=")</f>
        <v>#REF!</v>
      </c>
      <c r="EJ84" t="e">
        <f>AND(#REF!,"AAAAADMMv4s=")</f>
        <v>#REF!</v>
      </c>
      <c r="EK84" t="e">
        <f>AND(#REF!,"AAAAADMMv4w=")</f>
        <v>#REF!</v>
      </c>
      <c r="EL84" t="e">
        <f>AND(#REF!,"AAAAADMMv40=")</f>
        <v>#REF!</v>
      </c>
      <c r="EM84" t="e">
        <f>AND(#REF!,"AAAAADMMv44=")</f>
        <v>#REF!</v>
      </c>
      <c r="EN84" t="e">
        <f>AND(#REF!,"AAAAADMMv48=")</f>
        <v>#REF!</v>
      </c>
      <c r="EO84" t="e">
        <f>AND(#REF!,"AAAAADMMv5A=")</f>
        <v>#REF!</v>
      </c>
      <c r="EP84" t="e">
        <f>AND(#REF!,"AAAAADMMv5E=")</f>
        <v>#REF!</v>
      </c>
      <c r="EQ84" t="e">
        <f>AND(#REF!,"AAAAADMMv5I=")</f>
        <v>#REF!</v>
      </c>
      <c r="ER84" t="e">
        <f>AND(#REF!,"AAAAADMMv5M=")</f>
        <v>#REF!</v>
      </c>
      <c r="ES84" t="e">
        <f>AND(#REF!,"AAAAADMMv5Q=")</f>
        <v>#REF!</v>
      </c>
      <c r="ET84" t="e">
        <f>AND(#REF!,"AAAAADMMv5U=")</f>
        <v>#REF!</v>
      </c>
      <c r="EU84" t="e">
        <f>AND(#REF!,"AAAAADMMv5Y=")</f>
        <v>#REF!</v>
      </c>
      <c r="EV84" t="e">
        <f>AND(#REF!,"AAAAADMMv5c=")</f>
        <v>#REF!</v>
      </c>
      <c r="EW84" t="e">
        <f>AND(#REF!,"AAAAADMMv5g=")</f>
        <v>#REF!</v>
      </c>
      <c r="EX84" t="e">
        <f>AND(#REF!,"AAAAADMMv5k=")</f>
        <v>#REF!</v>
      </c>
      <c r="EY84" t="e">
        <f>AND(#REF!,"AAAAADMMv5o=")</f>
        <v>#REF!</v>
      </c>
      <c r="EZ84" t="e">
        <f>AND(#REF!,"AAAAADMMv5s=")</f>
        <v>#REF!</v>
      </c>
      <c r="FA84" t="e">
        <f>AND(#REF!,"AAAAADMMv5w=")</f>
        <v>#REF!</v>
      </c>
      <c r="FB84" t="e">
        <f>AND(#REF!,"AAAAADMMv50=")</f>
        <v>#REF!</v>
      </c>
      <c r="FC84" t="e">
        <f>AND(#REF!,"AAAAADMMv54=")</f>
        <v>#REF!</v>
      </c>
      <c r="FD84" t="e">
        <f>AND(#REF!,"AAAAADMMv58=")</f>
        <v>#REF!</v>
      </c>
      <c r="FE84" t="e">
        <f>AND(#REF!,"AAAAADMMv6A=")</f>
        <v>#REF!</v>
      </c>
      <c r="FF84" t="e">
        <f>AND(#REF!,"AAAAADMMv6E=")</f>
        <v>#REF!</v>
      </c>
      <c r="FG84" t="e">
        <f>AND(#REF!,"AAAAADMMv6I=")</f>
        <v>#REF!</v>
      </c>
      <c r="FH84" t="e">
        <f>AND(#REF!,"AAAAADMMv6M=")</f>
        <v>#REF!</v>
      </c>
      <c r="FI84" t="e">
        <f>AND(#REF!,"AAAAADMMv6Q=")</f>
        <v>#REF!</v>
      </c>
      <c r="FJ84" t="e">
        <f>AND(#REF!,"AAAAADMMv6U=")</f>
        <v>#REF!</v>
      </c>
      <c r="FK84" t="e">
        <f>AND(#REF!,"AAAAADMMv6Y=")</f>
        <v>#REF!</v>
      </c>
      <c r="FL84" t="e">
        <f>AND(#REF!,"AAAAADMMv6c=")</f>
        <v>#REF!</v>
      </c>
      <c r="FM84" t="e">
        <f>AND(#REF!,"AAAAADMMv6g=")</f>
        <v>#REF!</v>
      </c>
      <c r="FN84" t="e">
        <f>AND(#REF!,"AAAAADMMv6k=")</f>
        <v>#REF!</v>
      </c>
      <c r="FO84" t="e">
        <f>AND(#REF!,"AAAAADMMv6o=")</f>
        <v>#REF!</v>
      </c>
      <c r="FP84" t="e">
        <f>AND(#REF!,"AAAAADMMv6s=")</f>
        <v>#REF!</v>
      </c>
      <c r="FQ84" t="e">
        <f>AND(#REF!,"AAAAADMMv6w=")</f>
        <v>#REF!</v>
      </c>
      <c r="FR84" t="e">
        <f>AND(#REF!,"AAAAADMMv60=")</f>
        <v>#REF!</v>
      </c>
      <c r="FS84" t="e">
        <f>AND(#REF!,"AAAAADMMv64=")</f>
        <v>#REF!</v>
      </c>
      <c r="FT84" t="e">
        <f>AND(#REF!,"AAAAADMMv68=")</f>
        <v>#REF!</v>
      </c>
      <c r="FU84" t="e">
        <f>AND(#REF!,"AAAAADMMv7A=")</f>
        <v>#REF!</v>
      </c>
      <c r="FV84" t="e">
        <f>AND(#REF!,"AAAAADMMv7E=")</f>
        <v>#REF!</v>
      </c>
      <c r="FW84" t="e">
        <f>AND(#REF!,"AAAAADMMv7I=")</f>
        <v>#REF!</v>
      </c>
      <c r="FX84" t="e">
        <f>AND(#REF!,"AAAAADMMv7M=")</f>
        <v>#REF!</v>
      </c>
      <c r="FY84" t="e">
        <f>AND(#REF!,"AAAAADMMv7Q=")</f>
        <v>#REF!</v>
      </c>
      <c r="FZ84" t="e">
        <f>IF(#REF!,"AAAAADMMv7U=",0)</f>
        <v>#REF!</v>
      </c>
      <c r="GA84" t="e">
        <f>AND(#REF!,"AAAAADMMv7Y=")</f>
        <v>#REF!</v>
      </c>
      <c r="GB84" t="e">
        <f>AND(#REF!,"AAAAADMMv7c=")</f>
        <v>#REF!</v>
      </c>
      <c r="GC84" t="e">
        <f>AND(#REF!,"AAAAADMMv7g=")</f>
        <v>#REF!</v>
      </c>
      <c r="GD84" t="e">
        <f>AND(#REF!,"AAAAADMMv7k=")</f>
        <v>#REF!</v>
      </c>
      <c r="GE84" t="e">
        <f>AND(#REF!,"AAAAADMMv7o=")</f>
        <v>#REF!</v>
      </c>
      <c r="GF84" t="e">
        <f>AND(#REF!,"AAAAADMMv7s=")</f>
        <v>#REF!</v>
      </c>
      <c r="GG84" t="e">
        <f>AND(#REF!,"AAAAADMMv7w=")</f>
        <v>#REF!</v>
      </c>
      <c r="GH84" t="e">
        <f>AND(#REF!,"AAAAADMMv70=")</f>
        <v>#REF!</v>
      </c>
      <c r="GI84" t="e">
        <f>AND(#REF!,"AAAAADMMv74=")</f>
        <v>#REF!</v>
      </c>
      <c r="GJ84" t="e">
        <f>AND(#REF!,"AAAAADMMv78=")</f>
        <v>#REF!</v>
      </c>
      <c r="GK84" t="e">
        <f>AND(#REF!,"AAAAADMMv8A=")</f>
        <v>#REF!</v>
      </c>
      <c r="GL84" t="e">
        <f>AND(#REF!,"AAAAADMMv8E=")</f>
        <v>#REF!</v>
      </c>
      <c r="GM84" t="e">
        <f>AND(#REF!,"AAAAADMMv8I=")</f>
        <v>#REF!</v>
      </c>
      <c r="GN84" t="e">
        <f>AND(#REF!,"AAAAADMMv8M=")</f>
        <v>#REF!</v>
      </c>
      <c r="GO84" t="e">
        <f>AND(#REF!,"AAAAADMMv8Q=")</f>
        <v>#REF!</v>
      </c>
      <c r="GP84" t="e">
        <f>AND(#REF!,"AAAAADMMv8U=")</f>
        <v>#REF!</v>
      </c>
      <c r="GQ84" t="e">
        <f>AND(#REF!,"AAAAADMMv8Y=")</f>
        <v>#REF!</v>
      </c>
      <c r="GR84" t="e">
        <f>AND(#REF!,"AAAAADMMv8c=")</f>
        <v>#REF!</v>
      </c>
      <c r="GS84" t="e">
        <f>AND(#REF!,"AAAAADMMv8g=")</f>
        <v>#REF!</v>
      </c>
      <c r="GT84" t="e">
        <f>AND(#REF!,"AAAAADMMv8k=")</f>
        <v>#REF!</v>
      </c>
      <c r="GU84" t="e">
        <f>AND(#REF!,"AAAAADMMv8o=")</f>
        <v>#REF!</v>
      </c>
      <c r="GV84" t="e">
        <f>AND(#REF!,"AAAAADMMv8s=")</f>
        <v>#REF!</v>
      </c>
      <c r="GW84" t="e">
        <f>AND(#REF!,"AAAAADMMv8w=")</f>
        <v>#REF!</v>
      </c>
      <c r="GX84" t="e">
        <f>AND(#REF!,"AAAAADMMv80=")</f>
        <v>#REF!</v>
      </c>
      <c r="GY84" t="e">
        <f>AND(#REF!,"AAAAADMMv84=")</f>
        <v>#REF!</v>
      </c>
      <c r="GZ84" t="e">
        <f>AND(#REF!,"AAAAADMMv88=")</f>
        <v>#REF!</v>
      </c>
      <c r="HA84" t="e">
        <f>AND(#REF!,"AAAAADMMv9A=")</f>
        <v>#REF!</v>
      </c>
      <c r="HB84" t="e">
        <f>AND(#REF!,"AAAAADMMv9E=")</f>
        <v>#REF!</v>
      </c>
      <c r="HC84" t="e">
        <f>AND(#REF!,"AAAAADMMv9I=")</f>
        <v>#REF!</v>
      </c>
      <c r="HD84" t="e">
        <f>AND(#REF!,"AAAAADMMv9M=")</f>
        <v>#REF!</v>
      </c>
      <c r="HE84" t="e">
        <f>AND(#REF!,"AAAAADMMv9Q=")</f>
        <v>#REF!</v>
      </c>
      <c r="HF84" t="e">
        <f>AND(#REF!,"AAAAADMMv9U=")</f>
        <v>#REF!</v>
      </c>
      <c r="HG84" t="e">
        <f>AND(#REF!,"AAAAADMMv9Y=")</f>
        <v>#REF!</v>
      </c>
      <c r="HH84" t="e">
        <f>AND(#REF!,"AAAAADMMv9c=")</f>
        <v>#REF!</v>
      </c>
      <c r="HI84" t="e">
        <f>AND(#REF!,"AAAAADMMv9g=")</f>
        <v>#REF!</v>
      </c>
      <c r="HJ84" t="e">
        <f>AND(#REF!,"AAAAADMMv9k=")</f>
        <v>#REF!</v>
      </c>
      <c r="HK84" t="e">
        <f>AND(#REF!,"AAAAADMMv9o=")</f>
        <v>#REF!</v>
      </c>
      <c r="HL84" t="e">
        <f>AND(#REF!,"AAAAADMMv9s=")</f>
        <v>#REF!</v>
      </c>
      <c r="HM84" t="e">
        <f>AND(#REF!,"AAAAADMMv9w=")</f>
        <v>#REF!</v>
      </c>
      <c r="HN84" t="e">
        <f>AND(#REF!,"AAAAADMMv90=")</f>
        <v>#REF!</v>
      </c>
      <c r="HO84" t="e">
        <f>AND(#REF!,"AAAAADMMv94=")</f>
        <v>#REF!</v>
      </c>
      <c r="HP84" t="e">
        <f>AND(#REF!,"AAAAADMMv98=")</f>
        <v>#REF!</v>
      </c>
      <c r="HQ84" t="e">
        <f>AND(#REF!,"AAAAADMMv+A=")</f>
        <v>#REF!</v>
      </c>
      <c r="HR84" t="e">
        <f>AND(#REF!,"AAAAADMMv+E=")</f>
        <v>#REF!</v>
      </c>
      <c r="HS84" t="e">
        <f>AND(#REF!,"AAAAADMMv+I=")</f>
        <v>#REF!</v>
      </c>
      <c r="HT84" t="e">
        <f>AND(#REF!,"AAAAADMMv+M=")</f>
        <v>#REF!</v>
      </c>
      <c r="HU84" t="e">
        <f>AND(#REF!,"AAAAADMMv+Q=")</f>
        <v>#REF!</v>
      </c>
      <c r="HV84" t="e">
        <f>AND(#REF!,"AAAAADMMv+U=")</f>
        <v>#REF!</v>
      </c>
      <c r="HW84" t="e">
        <f>AND(#REF!,"AAAAADMMv+Y=")</f>
        <v>#REF!</v>
      </c>
      <c r="HX84" t="e">
        <f>AND(#REF!,"AAAAADMMv+c=")</f>
        <v>#REF!</v>
      </c>
      <c r="HY84" t="e">
        <f>AND(#REF!,"AAAAADMMv+g=")</f>
        <v>#REF!</v>
      </c>
      <c r="HZ84" t="e">
        <f>AND(#REF!,"AAAAADMMv+k=")</f>
        <v>#REF!</v>
      </c>
      <c r="IA84" t="e">
        <f>AND(#REF!,"AAAAADMMv+o=")</f>
        <v>#REF!</v>
      </c>
      <c r="IB84" t="e">
        <f>AND(#REF!,"AAAAADMMv+s=")</f>
        <v>#REF!</v>
      </c>
      <c r="IC84" t="e">
        <f>IF(#REF!,"AAAAADMMv+w=",0)</f>
        <v>#REF!</v>
      </c>
      <c r="ID84" t="e">
        <f>AND(#REF!,"AAAAADMMv+0=")</f>
        <v>#REF!</v>
      </c>
      <c r="IE84" t="e">
        <f>AND(#REF!,"AAAAADMMv+4=")</f>
        <v>#REF!</v>
      </c>
      <c r="IF84" t="e">
        <f>AND(#REF!,"AAAAADMMv+8=")</f>
        <v>#REF!</v>
      </c>
      <c r="IG84" t="e">
        <f>AND(#REF!,"AAAAADMMv/A=")</f>
        <v>#REF!</v>
      </c>
      <c r="IH84" t="e">
        <f>AND(#REF!,"AAAAADMMv/E=")</f>
        <v>#REF!</v>
      </c>
      <c r="II84" t="e">
        <f>AND(#REF!,"AAAAADMMv/I=")</f>
        <v>#REF!</v>
      </c>
      <c r="IJ84" t="e">
        <f>AND(#REF!,"AAAAADMMv/M=")</f>
        <v>#REF!</v>
      </c>
      <c r="IK84" t="e">
        <f>AND(#REF!,"AAAAADMMv/Q=")</f>
        <v>#REF!</v>
      </c>
      <c r="IL84" t="e">
        <f>AND(#REF!,"AAAAADMMv/U=")</f>
        <v>#REF!</v>
      </c>
      <c r="IM84" t="e">
        <f>AND(#REF!,"AAAAADMMv/Y=")</f>
        <v>#REF!</v>
      </c>
      <c r="IN84" t="e">
        <f>AND(#REF!,"AAAAADMMv/c=")</f>
        <v>#REF!</v>
      </c>
      <c r="IO84" t="e">
        <f>AND(#REF!,"AAAAADMMv/g=")</f>
        <v>#REF!</v>
      </c>
      <c r="IP84" t="e">
        <f>AND(#REF!,"AAAAADMMv/k=")</f>
        <v>#REF!</v>
      </c>
      <c r="IQ84" t="e">
        <f>AND(#REF!,"AAAAADMMv/o=")</f>
        <v>#REF!</v>
      </c>
      <c r="IR84" t="e">
        <f>AND(#REF!,"AAAAADMMv/s=")</f>
        <v>#REF!</v>
      </c>
      <c r="IS84" t="e">
        <f>AND(#REF!,"AAAAADMMv/w=")</f>
        <v>#REF!</v>
      </c>
      <c r="IT84" t="e">
        <f>AND(#REF!,"AAAAADMMv/0=")</f>
        <v>#REF!</v>
      </c>
      <c r="IU84" t="e">
        <f>AND(#REF!,"AAAAADMMv/4=")</f>
        <v>#REF!</v>
      </c>
      <c r="IV84" t="e">
        <f>AND(#REF!,"AAAAADMMv/8=")</f>
        <v>#REF!</v>
      </c>
    </row>
    <row r="85" spans="1:256" x14ac:dyDescent="0.25">
      <c r="A85" t="e">
        <f>AND(#REF!,"AAAAAF/9bwA=")</f>
        <v>#REF!</v>
      </c>
      <c r="B85" t="e">
        <f>AND(#REF!,"AAAAAF/9bwE=")</f>
        <v>#REF!</v>
      </c>
      <c r="C85" t="e">
        <f>AND(#REF!,"AAAAAF/9bwI=")</f>
        <v>#REF!</v>
      </c>
      <c r="D85" t="e">
        <f>AND(#REF!,"AAAAAF/9bwM=")</f>
        <v>#REF!</v>
      </c>
      <c r="E85" t="e">
        <f>AND(#REF!,"AAAAAF/9bwQ=")</f>
        <v>#REF!</v>
      </c>
      <c r="F85" t="e">
        <f>AND(#REF!,"AAAAAF/9bwU=")</f>
        <v>#REF!</v>
      </c>
      <c r="G85" t="e">
        <f>AND(#REF!,"AAAAAF/9bwY=")</f>
        <v>#REF!</v>
      </c>
      <c r="H85" t="e">
        <f>AND(#REF!,"AAAAAF/9bwc=")</f>
        <v>#REF!</v>
      </c>
      <c r="I85" t="e">
        <f>AND(#REF!,"AAAAAF/9bwg=")</f>
        <v>#REF!</v>
      </c>
      <c r="J85" t="e">
        <f>AND(#REF!,"AAAAAF/9bwk=")</f>
        <v>#REF!</v>
      </c>
      <c r="K85" t="e">
        <f>AND(#REF!,"AAAAAF/9bwo=")</f>
        <v>#REF!</v>
      </c>
      <c r="L85" t="e">
        <f>AND(#REF!,"AAAAAF/9bws=")</f>
        <v>#REF!</v>
      </c>
      <c r="M85" t="e">
        <f>AND(#REF!,"AAAAAF/9bww=")</f>
        <v>#REF!</v>
      </c>
      <c r="N85" t="e">
        <f>AND(#REF!,"AAAAAF/9bw0=")</f>
        <v>#REF!</v>
      </c>
      <c r="O85" t="e">
        <f>AND(#REF!,"AAAAAF/9bw4=")</f>
        <v>#REF!</v>
      </c>
      <c r="P85" t="e">
        <f>AND(#REF!,"AAAAAF/9bw8=")</f>
        <v>#REF!</v>
      </c>
      <c r="Q85" t="e">
        <f>AND(#REF!,"AAAAAF/9bxA=")</f>
        <v>#REF!</v>
      </c>
      <c r="R85" t="e">
        <f>AND(#REF!,"AAAAAF/9bxE=")</f>
        <v>#REF!</v>
      </c>
      <c r="S85" t="e">
        <f>AND(#REF!,"AAAAAF/9bxI=")</f>
        <v>#REF!</v>
      </c>
      <c r="T85" t="e">
        <f>AND(#REF!,"AAAAAF/9bxM=")</f>
        <v>#REF!</v>
      </c>
      <c r="U85" t="e">
        <f>AND(#REF!,"AAAAAF/9bxQ=")</f>
        <v>#REF!</v>
      </c>
      <c r="V85" t="e">
        <f>AND(#REF!,"AAAAAF/9bxU=")</f>
        <v>#REF!</v>
      </c>
      <c r="W85" t="e">
        <f>AND(#REF!,"AAAAAF/9bxY=")</f>
        <v>#REF!</v>
      </c>
      <c r="X85" t="e">
        <f>AND(#REF!,"AAAAAF/9bxc=")</f>
        <v>#REF!</v>
      </c>
      <c r="Y85" t="e">
        <f>AND(#REF!,"AAAAAF/9bxg=")</f>
        <v>#REF!</v>
      </c>
      <c r="Z85" t="e">
        <f>AND(#REF!,"AAAAAF/9bxk=")</f>
        <v>#REF!</v>
      </c>
      <c r="AA85" t="e">
        <f>AND(#REF!,"AAAAAF/9bxo=")</f>
        <v>#REF!</v>
      </c>
      <c r="AB85" t="e">
        <f>AND(#REF!,"AAAAAF/9bxs=")</f>
        <v>#REF!</v>
      </c>
      <c r="AC85" t="e">
        <f>AND(#REF!,"AAAAAF/9bxw=")</f>
        <v>#REF!</v>
      </c>
      <c r="AD85" t="e">
        <f>AND(#REF!,"AAAAAF/9bx0=")</f>
        <v>#REF!</v>
      </c>
      <c r="AE85" t="e">
        <f>AND(#REF!,"AAAAAF/9bx4=")</f>
        <v>#REF!</v>
      </c>
      <c r="AF85" t="e">
        <f>AND(#REF!,"AAAAAF/9bx8=")</f>
        <v>#REF!</v>
      </c>
      <c r="AG85" t="e">
        <f>AND(#REF!,"AAAAAF/9byA=")</f>
        <v>#REF!</v>
      </c>
      <c r="AH85" t="e">
        <f>AND(#REF!,"AAAAAF/9byE=")</f>
        <v>#REF!</v>
      </c>
      <c r="AI85" t="e">
        <f>AND(#REF!,"AAAAAF/9byI=")</f>
        <v>#REF!</v>
      </c>
      <c r="AJ85" t="e">
        <f>IF(#REF!,"AAAAAF/9byM=",0)</f>
        <v>#REF!</v>
      </c>
      <c r="AK85" t="e">
        <f>AND(#REF!,"AAAAAF/9byQ=")</f>
        <v>#REF!</v>
      </c>
      <c r="AL85" t="e">
        <f>AND(#REF!,"AAAAAF/9byU=")</f>
        <v>#REF!</v>
      </c>
      <c r="AM85" t="e">
        <f>AND(#REF!,"AAAAAF/9byY=")</f>
        <v>#REF!</v>
      </c>
      <c r="AN85" t="e">
        <f>AND(#REF!,"AAAAAF/9byc=")</f>
        <v>#REF!</v>
      </c>
      <c r="AO85" t="e">
        <f>AND(#REF!,"AAAAAF/9byg=")</f>
        <v>#REF!</v>
      </c>
      <c r="AP85" t="e">
        <f>AND(#REF!,"AAAAAF/9byk=")</f>
        <v>#REF!</v>
      </c>
      <c r="AQ85" t="e">
        <f>AND(#REF!,"AAAAAF/9byo=")</f>
        <v>#REF!</v>
      </c>
      <c r="AR85" t="e">
        <f>AND(#REF!,"AAAAAF/9bys=")</f>
        <v>#REF!</v>
      </c>
      <c r="AS85" t="e">
        <f>AND(#REF!,"AAAAAF/9byw=")</f>
        <v>#REF!</v>
      </c>
      <c r="AT85" t="e">
        <f>AND(#REF!,"AAAAAF/9by0=")</f>
        <v>#REF!</v>
      </c>
      <c r="AU85" t="e">
        <f>AND(#REF!,"AAAAAF/9by4=")</f>
        <v>#REF!</v>
      </c>
      <c r="AV85" t="e">
        <f>AND(#REF!,"AAAAAF/9by8=")</f>
        <v>#REF!</v>
      </c>
      <c r="AW85" t="e">
        <f>AND(#REF!,"AAAAAF/9bzA=")</f>
        <v>#REF!</v>
      </c>
      <c r="AX85" t="e">
        <f>AND(#REF!,"AAAAAF/9bzE=")</f>
        <v>#REF!</v>
      </c>
      <c r="AY85" t="e">
        <f>AND(#REF!,"AAAAAF/9bzI=")</f>
        <v>#REF!</v>
      </c>
      <c r="AZ85" t="e">
        <f>AND(#REF!,"AAAAAF/9bzM=")</f>
        <v>#REF!</v>
      </c>
      <c r="BA85" t="e">
        <f>AND(#REF!,"AAAAAF/9bzQ=")</f>
        <v>#REF!</v>
      </c>
      <c r="BB85" t="e">
        <f>AND(#REF!,"AAAAAF/9bzU=")</f>
        <v>#REF!</v>
      </c>
      <c r="BC85" t="e">
        <f>AND(#REF!,"AAAAAF/9bzY=")</f>
        <v>#REF!</v>
      </c>
      <c r="BD85" t="e">
        <f>AND(#REF!,"AAAAAF/9bzc=")</f>
        <v>#REF!</v>
      </c>
      <c r="BE85" t="e">
        <f>AND(#REF!,"AAAAAF/9bzg=")</f>
        <v>#REF!</v>
      </c>
      <c r="BF85" t="e">
        <f>AND(#REF!,"AAAAAF/9bzk=")</f>
        <v>#REF!</v>
      </c>
      <c r="BG85" t="e">
        <f>AND(#REF!,"AAAAAF/9bzo=")</f>
        <v>#REF!</v>
      </c>
      <c r="BH85" t="e">
        <f>AND(#REF!,"AAAAAF/9bzs=")</f>
        <v>#REF!</v>
      </c>
      <c r="BI85" t="e">
        <f>AND(#REF!,"AAAAAF/9bzw=")</f>
        <v>#REF!</v>
      </c>
      <c r="BJ85" t="e">
        <f>AND(#REF!,"AAAAAF/9bz0=")</f>
        <v>#REF!</v>
      </c>
      <c r="BK85" t="e">
        <f>AND(#REF!,"AAAAAF/9bz4=")</f>
        <v>#REF!</v>
      </c>
      <c r="BL85" t="e">
        <f>AND(#REF!,"AAAAAF/9bz8=")</f>
        <v>#REF!</v>
      </c>
      <c r="BM85" t="e">
        <f>AND(#REF!,"AAAAAF/9b0A=")</f>
        <v>#REF!</v>
      </c>
      <c r="BN85" t="e">
        <f>AND(#REF!,"AAAAAF/9b0E=")</f>
        <v>#REF!</v>
      </c>
      <c r="BO85" t="e">
        <f>AND(#REF!,"AAAAAF/9b0I=")</f>
        <v>#REF!</v>
      </c>
      <c r="BP85" t="e">
        <f>AND(#REF!,"AAAAAF/9b0M=")</f>
        <v>#REF!</v>
      </c>
      <c r="BQ85" t="e">
        <f>AND(#REF!,"AAAAAF/9b0Q=")</f>
        <v>#REF!</v>
      </c>
      <c r="BR85" t="e">
        <f>AND(#REF!,"AAAAAF/9b0U=")</f>
        <v>#REF!</v>
      </c>
      <c r="BS85" t="e">
        <f>AND(#REF!,"AAAAAF/9b0Y=")</f>
        <v>#REF!</v>
      </c>
      <c r="BT85" t="e">
        <f>AND(#REF!,"AAAAAF/9b0c=")</f>
        <v>#REF!</v>
      </c>
      <c r="BU85" t="e">
        <f>AND(#REF!,"AAAAAF/9b0g=")</f>
        <v>#REF!</v>
      </c>
      <c r="BV85" t="e">
        <f>AND(#REF!,"AAAAAF/9b0k=")</f>
        <v>#REF!</v>
      </c>
      <c r="BW85" t="e">
        <f>AND(#REF!,"AAAAAF/9b0o=")</f>
        <v>#REF!</v>
      </c>
      <c r="BX85" t="e">
        <f>AND(#REF!,"AAAAAF/9b0s=")</f>
        <v>#REF!</v>
      </c>
      <c r="BY85" t="e">
        <f>AND(#REF!,"AAAAAF/9b0w=")</f>
        <v>#REF!</v>
      </c>
      <c r="BZ85" t="e">
        <f>AND(#REF!,"AAAAAF/9b00=")</f>
        <v>#REF!</v>
      </c>
      <c r="CA85" t="e">
        <f>AND(#REF!,"AAAAAF/9b04=")</f>
        <v>#REF!</v>
      </c>
      <c r="CB85" t="e">
        <f>AND(#REF!,"AAAAAF/9b08=")</f>
        <v>#REF!</v>
      </c>
      <c r="CC85" t="e">
        <f>AND(#REF!,"AAAAAF/9b1A=")</f>
        <v>#REF!</v>
      </c>
      <c r="CD85" t="e">
        <f>AND(#REF!,"AAAAAF/9b1E=")</f>
        <v>#REF!</v>
      </c>
      <c r="CE85" t="e">
        <f>AND(#REF!,"AAAAAF/9b1I=")</f>
        <v>#REF!</v>
      </c>
      <c r="CF85" t="e">
        <f>AND(#REF!,"AAAAAF/9b1M=")</f>
        <v>#REF!</v>
      </c>
      <c r="CG85" t="e">
        <f>AND(#REF!,"AAAAAF/9b1Q=")</f>
        <v>#REF!</v>
      </c>
      <c r="CH85" t="e">
        <f>AND(#REF!,"AAAAAF/9b1U=")</f>
        <v>#REF!</v>
      </c>
      <c r="CI85" t="e">
        <f>AND(#REF!,"AAAAAF/9b1Y=")</f>
        <v>#REF!</v>
      </c>
      <c r="CJ85" t="e">
        <f>AND(#REF!,"AAAAAF/9b1c=")</f>
        <v>#REF!</v>
      </c>
      <c r="CK85" t="e">
        <f>AND(#REF!,"AAAAAF/9b1g=")</f>
        <v>#REF!</v>
      </c>
      <c r="CL85" t="e">
        <f>AND(#REF!,"AAAAAF/9b1k=")</f>
        <v>#REF!</v>
      </c>
      <c r="CM85" t="e">
        <f>IF(#REF!,"AAAAAF/9b1o=",0)</f>
        <v>#REF!</v>
      </c>
      <c r="CN85" t="e">
        <f>AND(#REF!,"AAAAAF/9b1s=")</f>
        <v>#REF!</v>
      </c>
      <c r="CO85" t="e">
        <f>AND(#REF!,"AAAAAF/9b1w=")</f>
        <v>#REF!</v>
      </c>
      <c r="CP85" t="e">
        <f>AND(#REF!,"AAAAAF/9b10=")</f>
        <v>#REF!</v>
      </c>
      <c r="CQ85" t="e">
        <f>AND(#REF!,"AAAAAF/9b14=")</f>
        <v>#REF!</v>
      </c>
      <c r="CR85" t="e">
        <f>AND(#REF!,"AAAAAF/9b18=")</f>
        <v>#REF!</v>
      </c>
      <c r="CS85" t="e">
        <f>AND(#REF!,"AAAAAF/9b2A=")</f>
        <v>#REF!</v>
      </c>
      <c r="CT85" t="e">
        <f>AND(#REF!,"AAAAAF/9b2E=")</f>
        <v>#REF!</v>
      </c>
      <c r="CU85" t="e">
        <f>AND(#REF!,"AAAAAF/9b2I=")</f>
        <v>#REF!</v>
      </c>
      <c r="CV85" t="e">
        <f>AND(#REF!,"AAAAAF/9b2M=")</f>
        <v>#REF!</v>
      </c>
      <c r="CW85" t="e">
        <f>AND(#REF!,"AAAAAF/9b2Q=")</f>
        <v>#REF!</v>
      </c>
      <c r="CX85" t="e">
        <f>AND(#REF!,"AAAAAF/9b2U=")</f>
        <v>#REF!</v>
      </c>
      <c r="CY85" t="e">
        <f>AND(#REF!,"AAAAAF/9b2Y=")</f>
        <v>#REF!</v>
      </c>
      <c r="CZ85" t="e">
        <f>AND(#REF!,"AAAAAF/9b2c=")</f>
        <v>#REF!</v>
      </c>
      <c r="DA85" t="e">
        <f>AND(#REF!,"AAAAAF/9b2g=")</f>
        <v>#REF!</v>
      </c>
      <c r="DB85" t="e">
        <f>AND(#REF!,"AAAAAF/9b2k=")</f>
        <v>#REF!</v>
      </c>
      <c r="DC85" t="e">
        <f>AND(#REF!,"AAAAAF/9b2o=")</f>
        <v>#REF!</v>
      </c>
      <c r="DD85" t="e">
        <f>AND(#REF!,"AAAAAF/9b2s=")</f>
        <v>#REF!</v>
      </c>
      <c r="DE85" t="e">
        <f>AND(#REF!,"AAAAAF/9b2w=")</f>
        <v>#REF!</v>
      </c>
      <c r="DF85" t="e">
        <f>AND(#REF!,"AAAAAF/9b20=")</f>
        <v>#REF!</v>
      </c>
      <c r="DG85" t="e">
        <f>AND(#REF!,"AAAAAF/9b24=")</f>
        <v>#REF!</v>
      </c>
      <c r="DH85" t="e">
        <f>AND(#REF!,"AAAAAF/9b28=")</f>
        <v>#REF!</v>
      </c>
      <c r="DI85" t="e">
        <f>AND(#REF!,"AAAAAF/9b3A=")</f>
        <v>#REF!</v>
      </c>
      <c r="DJ85" t="e">
        <f>AND(#REF!,"AAAAAF/9b3E=")</f>
        <v>#REF!</v>
      </c>
      <c r="DK85" t="e">
        <f>AND(#REF!,"AAAAAF/9b3I=")</f>
        <v>#REF!</v>
      </c>
      <c r="DL85" t="e">
        <f>AND(#REF!,"AAAAAF/9b3M=")</f>
        <v>#REF!</v>
      </c>
      <c r="DM85" t="e">
        <f>AND(#REF!,"AAAAAF/9b3Q=")</f>
        <v>#REF!</v>
      </c>
      <c r="DN85" t="e">
        <f>AND(#REF!,"AAAAAF/9b3U=")</f>
        <v>#REF!</v>
      </c>
      <c r="DO85" t="e">
        <f>AND(#REF!,"AAAAAF/9b3Y=")</f>
        <v>#REF!</v>
      </c>
      <c r="DP85" t="e">
        <f>AND(#REF!,"AAAAAF/9b3c=")</f>
        <v>#REF!</v>
      </c>
      <c r="DQ85" t="e">
        <f>AND(#REF!,"AAAAAF/9b3g=")</f>
        <v>#REF!</v>
      </c>
      <c r="DR85" t="e">
        <f>AND(#REF!,"AAAAAF/9b3k=")</f>
        <v>#REF!</v>
      </c>
      <c r="DS85" t="e">
        <f>AND(#REF!,"AAAAAF/9b3o=")</f>
        <v>#REF!</v>
      </c>
      <c r="DT85" t="e">
        <f>AND(#REF!,"AAAAAF/9b3s=")</f>
        <v>#REF!</v>
      </c>
      <c r="DU85" t="e">
        <f>AND(#REF!,"AAAAAF/9b3w=")</f>
        <v>#REF!</v>
      </c>
      <c r="DV85" t="e">
        <f>AND(#REF!,"AAAAAF/9b30=")</f>
        <v>#REF!</v>
      </c>
      <c r="DW85" t="e">
        <f>AND(#REF!,"AAAAAF/9b34=")</f>
        <v>#REF!</v>
      </c>
      <c r="DX85" t="e">
        <f>AND(#REF!,"AAAAAF/9b38=")</f>
        <v>#REF!</v>
      </c>
      <c r="DY85" t="e">
        <f>AND(#REF!,"AAAAAF/9b4A=")</f>
        <v>#REF!</v>
      </c>
      <c r="DZ85" t="e">
        <f>AND(#REF!,"AAAAAF/9b4E=")</f>
        <v>#REF!</v>
      </c>
      <c r="EA85" t="e">
        <f>AND(#REF!,"AAAAAF/9b4I=")</f>
        <v>#REF!</v>
      </c>
      <c r="EB85" t="e">
        <f>AND(#REF!,"AAAAAF/9b4M=")</f>
        <v>#REF!</v>
      </c>
      <c r="EC85" t="e">
        <f>AND(#REF!,"AAAAAF/9b4Q=")</f>
        <v>#REF!</v>
      </c>
      <c r="ED85" t="e">
        <f>AND(#REF!,"AAAAAF/9b4U=")</f>
        <v>#REF!</v>
      </c>
      <c r="EE85" t="e">
        <f>AND(#REF!,"AAAAAF/9b4Y=")</f>
        <v>#REF!</v>
      </c>
      <c r="EF85" t="e">
        <f>AND(#REF!,"AAAAAF/9b4c=")</f>
        <v>#REF!</v>
      </c>
      <c r="EG85" t="e">
        <f>AND(#REF!,"AAAAAF/9b4g=")</f>
        <v>#REF!</v>
      </c>
      <c r="EH85" t="e">
        <f>AND(#REF!,"AAAAAF/9b4k=")</f>
        <v>#REF!</v>
      </c>
      <c r="EI85" t="e">
        <f>AND(#REF!,"AAAAAF/9b4o=")</f>
        <v>#REF!</v>
      </c>
      <c r="EJ85" t="e">
        <f>AND(#REF!,"AAAAAF/9b4s=")</f>
        <v>#REF!</v>
      </c>
      <c r="EK85" t="e">
        <f>AND(#REF!,"AAAAAF/9b4w=")</f>
        <v>#REF!</v>
      </c>
      <c r="EL85" t="e">
        <f>AND(#REF!,"AAAAAF/9b40=")</f>
        <v>#REF!</v>
      </c>
      <c r="EM85" t="e">
        <f>AND(#REF!,"AAAAAF/9b44=")</f>
        <v>#REF!</v>
      </c>
      <c r="EN85" t="e">
        <f>AND(#REF!,"AAAAAF/9b48=")</f>
        <v>#REF!</v>
      </c>
      <c r="EO85" t="e">
        <f>AND(#REF!,"AAAAAF/9b5A=")</f>
        <v>#REF!</v>
      </c>
      <c r="EP85" t="e">
        <f>IF(#REF!,"AAAAAF/9b5E=",0)</f>
        <v>#REF!</v>
      </c>
      <c r="EQ85" t="e">
        <f>AND(#REF!,"AAAAAF/9b5I=")</f>
        <v>#REF!</v>
      </c>
      <c r="ER85" t="e">
        <f>AND(#REF!,"AAAAAF/9b5M=")</f>
        <v>#REF!</v>
      </c>
      <c r="ES85" t="e">
        <f>AND(#REF!,"AAAAAF/9b5Q=")</f>
        <v>#REF!</v>
      </c>
      <c r="ET85" t="e">
        <f>AND(#REF!,"AAAAAF/9b5U=")</f>
        <v>#REF!</v>
      </c>
      <c r="EU85" t="e">
        <f>AND(#REF!,"AAAAAF/9b5Y=")</f>
        <v>#REF!</v>
      </c>
      <c r="EV85" t="e">
        <f>AND(#REF!,"AAAAAF/9b5c=")</f>
        <v>#REF!</v>
      </c>
      <c r="EW85" t="e">
        <f>AND(#REF!,"AAAAAF/9b5g=")</f>
        <v>#REF!</v>
      </c>
      <c r="EX85" t="e">
        <f>AND(#REF!,"AAAAAF/9b5k=")</f>
        <v>#REF!</v>
      </c>
      <c r="EY85" t="e">
        <f>AND(#REF!,"AAAAAF/9b5o=")</f>
        <v>#REF!</v>
      </c>
      <c r="EZ85" t="e">
        <f>AND(#REF!,"AAAAAF/9b5s=")</f>
        <v>#REF!</v>
      </c>
      <c r="FA85" t="e">
        <f>AND(#REF!,"AAAAAF/9b5w=")</f>
        <v>#REF!</v>
      </c>
      <c r="FB85" t="e">
        <f>AND(#REF!,"AAAAAF/9b50=")</f>
        <v>#REF!</v>
      </c>
      <c r="FC85" t="e">
        <f>AND(#REF!,"AAAAAF/9b54=")</f>
        <v>#REF!</v>
      </c>
      <c r="FD85" t="e">
        <f>AND(#REF!,"AAAAAF/9b58=")</f>
        <v>#REF!</v>
      </c>
      <c r="FE85" t="e">
        <f>AND(#REF!,"AAAAAF/9b6A=")</f>
        <v>#REF!</v>
      </c>
      <c r="FF85" t="e">
        <f>AND(#REF!,"AAAAAF/9b6E=")</f>
        <v>#REF!</v>
      </c>
      <c r="FG85" t="e">
        <f>AND(#REF!,"AAAAAF/9b6I=")</f>
        <v>#REF!</v>
      </c>
      <c r="FH85" t="e">
        <f>AND(#REF!,"AAAAAF/9b6M=")</f>
        <v>#REF!</v>
      </c>
      <c r="FI85" t="e">
        <f>AND(#REF!,"AAAAAF/9b6Q=")</f>
        <v>#REF!</v>
      </c>
      <c r="FJ85" t="e">
        <f>AND(#REF!,"AAAAAF/9b6U=")</f>
        <v>#REF!</v>
      </c>
      <c r="FK85" t="e">
        <f>AND(#REF!,"AAAAAF/9b6Y=")</f>
        <v>#REF!</v>
      </c>
      <c r="FL85" t="e">
        <f>AND(#REF!,"AAAAAF/9b6c=")</f>
        <v>#REF!</v>
      </c>
      <c r="FM85" t="e">
        <f>AND(#REF!,"AAAAAF/9b6g=")</f>
        <v>#REF!</v>
      </c>
      <c r="FN85" t="e">
        <f>AND(#REF!,"AAAAAF/9b6k=")</f>
        <v>#REF!</v>
      </c>
      <c r="FO85" t="e">
        <f>AND(#REF!,"AAAAAF/9b6o=")</f>
        <v>#REF!</v>
      </c>
      <c r="FP85" t="e">
        <f>AND(#REF!,"AAAAAF/9b6s=")</f>
        <v>#REF!</v>
      </c>
      <c r="FQ85" t="e">
        <f>AND(#REF!,"AAAAAF/9b6w=")</f>
        <v>#REF!</v>
      </c>
      <c r="FR85" t="e">
        <f>AND(#REF!,"AAAAAF/9b60=")</f>
        <v>#REF!</v>
      </c>
      <c r="FS85" t="e">
        <f>AND(#REF!,"AAAAAF/9b64=")</f>
        <v>#REF!</v>
      </c>
      <c r="FT85" t="e">
        <f>AND(#REF!,"AAAAAF/9b68=")</f>
        <v>#REF!</v>
      </c>
      <c r="FU85" t="e">
        <f>AND(#REF!,"AAAAAF/9b7A=")</f>
        <v>#REF!</v>
      </c>
      <c r="FV85" t="e">
        <f>AND(#REF!,"AAAAAF/9b7E=")</f>
        <v>#REF!</v>
      </c>
      <c r="FW85" t="e">
        <f>AND(#REF!,"AAAAAF/9b7I=")</f>
        <v>#REF!</v>
      </c>
      <c r="FX85" t="e">
        <f>AND(#REF!,"AAAAAF/9b7M=")</f>
        <v>#REF!</v>
      </c>
      <c r="FY85" t="e">
        <f>AND(#REF!,"AAAAAF/9b7Q=")</f>
        <v>#REF!</v>
      </c>
      <c r="FZ85" t="e">
        <f>AND(#REF!,"AAAAAF/9b7U=")</f>
        <v>#REF!</v>
      </c>
      <c r="GA85" t="e">
        <f>AND(#REF!,"AAAAAF/9b7Y=")</f>
        <v>#REF!</v>
      </c>
      <c r="GB85" t="e">
        <f>AND(#REF!,"AAAAAF/9b7c=")</f>
        <v>#REF!</v>
      </c>
      <c r="GC85" t="e">
        <f>AND(#REF!,"AAAAAF/9b7g=")</f>
        <v>#REF!</v>
      </c>
      <c r="GD85" t="e">
        <f>AND(#REF!,"AAAAAF/9b7k=")</f>
        <v>#REF!</v>
      </c>
      <c r="GE85" t="e">
        <f>AND(#REF!,"AAAAAF/9b7o=")</f>
        <v>#REF!</v>
      </c>
      <c r="GF85" t="e">
        <f>AND(#REF!,"AAAAAF/9b7s=")</f>
        <v>#REF!</v>
      </c>
      <c r="GG85" t="e">
        <f>AND(#REF!,"AAAAAF/9b7w=")</f>
        <v>#REF!</v>
      </c>
      <c r="GH85" t="e">
        <f>AND(#REF!,"AAAAAF/9b70=")</f>
        <v>#REF!</v>
      </c>
      <c r="GI85" t="e">
        <f>AND(#REF!,"AAAAAF/9b74=")</f>
        <v>#REF!</v>
      </c>
      <c r="GJ85" t="e">
        <f>AND(#REF!,"AAAAAF/9b78=")</f>
        <v>#REF!</v>
      </c>
      <c r="GK85" t="e">
        <f>AND(#REF!,"AAAAAF/9b8A=")</f>
        <v>#REF!</v>
      </c>
      <c r="GL85" t="e">
        <f>AND(#REF!,"AAAAAF/9b8E=")</f>
        <v>#REF!</v>
      </c>
      <c r="GM85" t="e">
        <f>AND(#REF!,"AAAAAF/9b8I=")</f>
        <v>#REF!</v>
      </c>
      <c r="GN85" t="e">
        <f>AND(#REF!,"AAAAAF/9b8M=")</f>
        <v>#REF!</v>
      </c>
      <c r="GO85" t="e">
        <f>AND(#REF!,"AAAAAF/9b8Q=")</f>
        <v>#REF!</v>
      </c>
      <c r="GP85" t="e">
        <f>AND(#REF!,"AAAAAF/9b8U=")</f>
        <v>#REF!</v>
      </c>
      <c r="GQ85" t="e">
        <f>AND(#REF!,"AAAAAF/9b8Y=")</f>
        <v>#REF!</v>
      </c>
      <c r="GR85" t="e">
        <f>AND(#REF!,"AAAAAF/9b8c=")</f>
        <v>#REF!</v>
      </c>
      <c r="GS85" t="e">
        <f>IF(#REF!,"AAAAAF/9b8g=",0)</f>
        <v>#REF!</v>
      </c>
      <c r="GT85" t="e">
        <f>AND(#REF!,"AAAAAF/9b8k=")</f>
        <v>#REF!</v>
      </c>
      <c r="GU85" t="e">
        <f>AND(#REF!,"AAAAAF/9b8o=")</f>
        <v>#REF!</v>
      </c>
      <c r="GV85" t="e">
        <f>AND(#REF!,"AAAAAF/9b8s=")</f>
        <v>#REF!</v>
      </c>
      <c r="GW85" t="e">
        <f>AND(#REF!,"AAAAAF/9b8w=")</f>
        <v>#REF!</v>
      </c>
      <c r="GX85" t="e">
        <f>AND(#REF!,"AAAAAF/9b80=")</f>
        <v>#REF!</v>
      </c>
      <c r="GY85" t="e">
        <f>AND(#REF!,"AAAAAF/9b84=")</f>
        <v>#REF!</v>
      </c>
      <c r="GZ85" t="e">
        <f>AND(#REF!,"AAAAAF/9b88=")</f>
        <v>#REF!</v>
      </c>
      <c r="HA85" t="e">
        <f>AND(#REF!,"AAAAAF/9b9A=")</f>
        <v>#REF!</v>
      </c>
      <c r="HB85" t="e">
        <f>AND(#REF!,"AAAAAF/9b9E=")</f>
        <v>#REF!</v>
      </c>
      <c r="HC85" t="e">
        <f>AND(#REF!,"AAAAAF/9b9I=")</f>
        <v>#REF!</v>
      </c>
      <c r="HD85" t="e">
        <f>AND(#REF!,"AAAAAF/9b9M=")</f>
        <v>#REF!</v>
      </c>
      <c r="HE85" t="e">
        <f>AND(#REF!,"AAAAAF/9b9Q=")</f>
        <v>#REF!</v>
      </c>
      <c r="HF85" t="e">
        <f>AND(#REF!,"AAAAAF/9b9U=")</f>
        <v>#REF!</v>
      </c>
      <c r="HG85" t="e">
        <f>AND(#REF!,"AAAAAF/9b9Y=")</f>
        <v>#REF!</v>
      </c>
      <c r="HH85" t="e">
        <f>AND(#REF!,"AAAAAF/9b9c=")</f>
        <v>#REF!</v>
      </c>
      <c r="HI85" t="e">
        <f>AND(#REF!,"AAAAAF/9b9g=")</f>
        <v>#REF!</v>
      </c>
      <c r="HJ85" t="e">
        <f>AND(#REF!,"AAAAAF/9b9k=")</f>
        <v>#REF!</v>
      </c>
      <c r="HK85" t="e">
        <f>AND(#REF!,"AAAAAF/9b9o=")</f>
        <v>#REF!</v>
      </c>
      <c r="HL85" t="e">
        <f>AND(#REF!,"AAAAAF/9b9s=")</f>
        <v>#REF!</v>
      </c>
      <c r="HM85" t="e">
        <f>AND(#REF!,"AAAAAF/9b9w=")</f>
        <v>#REF!</v>
      </c>
      <c r="HN85" t="e">
        <f>AND(#REF!,"AAAAAF/9b90=")</f>
        <v>#REF!</v>
      </c>
      <c r="HO85" t="e">
        <f>AND(#REF!,"AAAAAF/9b94=")</f>
        <v>#REF!</v>
      </c>
      <c r="HP85" t="e">
        <f>AND(#REF!,"AAAAAF/9b98=")</f>
        <v>#REF!</v>
      </c>
      <c r="HQ85" t="e">
        <f>AND(#REF!,"AAAAAF/9b+A=")</f>
        <v>#REF!</v>
      </c>
      <c r="HR85" t="e">
        <f>AND(#REF!,"AAAAAF/9b+E=")</f>
        <v>#REF!</v>
      </c>
      <c r="HS85" t="e">
        <f>AND(#REF!,"AAAAAF/9b+I=")</f>
        <v>#REF!</v>
      </c>
      <c r="HT85" t="e">
        <f>AND(#REF!,"AAAAAF/9b+M=")</f>
        <v>#REF!</v>
      </c>
      <c r="HU85" t="e">
        <f>AND(#REF!,"AAAAAF/9b+Q=")</f>
        <v>#REF!</v>
      </c>
      <c r="HV85" t="e">
        <f>AND(#REF!,"AAAAAF/9b+U=")</f>
        <v>#REF!</v>
      </c>
      <c r="HW85" t="e">
        <f>AND(#REF!,"AAAAAF/9b+Y=")</f>
        <v>#REF!</v>
      </c>
      <c r="HX85" t="e">
        <f>AND(#REF!,"AAAAAF/9b+c=")</f>
        <v>#REF!</v>
      </c>
      <c r="HY85" t="e">
        <f>AND(#REF!,"AAAAAF/9b+g=")</f>
        <v>#REF!</v>
      </c>
      <c r="HZ85" t="e">
        <f>AND(#REF!,"AAAAAF/9b+k=")</f>
        <v>#REF!</v>
      </c>
      <c r="IA85" t="e">
        <f>AND(#REF!,"AAAAAF/9b+o=")</f>
        <v>#REF!</v>
      </c>
      <c r="IB85" t="e">
        <f>AND(#REF!,"AAAAAF/9b+s=")</f>
        <v>#REF!</v>
      </c>
      <c r="IC85" t="e">
        <f>AND(#REF!,"AAAAAF/9b+w=")</f>
        <v>#REF!</v>
      </c>
      <c r="ID85" t="e">
        <f>AND(#REF!,"AAAAAF/9b+0=")</f>
        <v>#REF!</v>
      </c>
      <c r="IE85" t="e">
        <f>AND(#REF!,"AAAAAF/9b+4=")</f>
        <v>#REF!</v>
      </c>
      <c r="IF85" t="e">
        <f>AND(#REF!,"AAAAAF/9b+8=")</f>
        <v>#REF!</v>
      </c>
      <c r="IG85" t="e">
        <f>AND(#REF!,"AAAAAF/9b/A=")</f>
        <v>#REF!</v>
      </c>
      <c r="IH85" t="e">
        <f>AND(#REF!,"AAAAAF/9b/E=")</f>
        <v>#REF!</v>
      </c>
      <c r="II85" t="e">
        <f>AND(#REF!,"AAAAAF/9b/I=")</f>
        <v>#REF!</v>
      </c>
      <c r="IJ85" t="e">
        <f>AND(#REF!,"AAAAAF/9b/M=")</f>
        <v>#REF!</v>
      </c>
      <c r="IK85" t="e">
        <f>AND(#REF!,"AAAAAF/9b/Q=")</f>
        <v>#REF!</v>
      </c>
      <c r="IL85" t="e">
        <f>AND(#REF!,"AAAAAF/9b/U=")</f>
        <v>#REF!</v>
      </c>
      <c r="IM85" t="e">
        <f>AND(#REF!,"AAAAAF/9b/Y=")</f>
        <v>#REF!</v>
      </c>
      <c r="IN85" t="e">
        <f>AND(#REF!,"AAAAAF/9b/c=")</f>
        <v>#REF!</v>
      </c>
      <c r="IO85" t="e">
        <f>AND(#REF!,"AAAAAF/9b/g=")</f>
        <v>#REF!</v>
      </c>
      <c r="IP85" t="e">
        <f>AND(#REF!,"AAAAAF/9b/k=")</f>
        <v>#REF!</v>
      </c>
      <c r="IQ85" t="e">
        <f>AND(#REF!,"AAAAAF/9b/o=")</f>
        <v>#REF!</v>
      </c>
      <c r="IR85" t="e">
        <f>AND(#REF!,"AAAAAF/9b/s=")</f>
        <v>#REF!</v>
      </c>
      <c r="IS85" t="e">
        <f>AND(#REF!,"AAAAAF/9b/w=")</f>
        <v>#REF!</v>
      </c>
      <c r="IT85" t="e">
        <f>AND(#REF!,"AAAAAF/9b/0=")</f>
        <v>#REF!</v>
      </c>
      <c r="IU85" t="e">
        <f>AND(#REF!,"AAAAAF/9b/4=")</f>
        <v>#REF!</v>
      </c>
      <c r="IV85" t="e">
        <f>IF(#REF!,"AAAAAF/9b/8=",0)</f>
        <v>#REF!</v>
      </c>
    </row>
    <row r="86" spans="1:256" x14ac:dyDescent="0.25">
      <c r="A86" t="e">
        <f>AND(#REF!,"AAAAAD/ldwA=")</f>
        <v>#REF!</v>
      </c>
      <c r="B86" t="e">
        <f>AND(#REF!,"AAAAAD/ldwE=")</f>
        <v>#REF!</v>
      </c>
      <c r="C86" t="e">
        <f>AND(#REF!,"AAAAAD/ldwI=")</f>
        <v>#REF!</v>
      </c>
      <c r="D86" t="e">
        <f>AND(#REF!,"AAAAAD/ldwM=")</f>
        <v>#REF!</v>
      </c>
      <c r="E86" t="e">
        <f>AND(#REF!,"AAAAAD/ldwQ=")</f>
        <v>#REF!</v>
      </c>
      <c r="F86" t="e">
        <f>AND(#REF!,"AAAAAD/ldwU=")</f>
        <v>#REF!</v>
      </c>
      <c r="G86" t="e">
        <f>AND(#REF!,"AAAAAD/ldwY=")</f>
        <v>#REF!</v>
      </c>
      <c r="H86" t="e">
        <f>AND(#REF!,"AAAAAD/ldwc=")</f>
        <v>#REF!</v>
      </c>
      <c r="I86" t="e">
        <f>AND(#REF!,"AAAAAD/ldwg=")</f>
        <v>#REF!</v>
      </c>
      <c r="J86" t="e">
        <f>AND(#REF!,"AAAAAD/ldwk=")</f>
        <v>#REF!</v>
      </c>
      <c r="K86" t="e">
        <f>AND(#REF!,"AAAAAD/ldwo=")</f>
        <v>#REF!</v>
      </c>
      <c r="L86" t="e">
        <f>AND(#REF!,"AAAAAD/ldws=")</f>
        <v>#REF!</v>
      </c>
      <c r="M86" t="e">
        <f>AND(#REF!,"AAAAAD/ldww=")</f>
        <v>#REF!</v>
      </c>
      <c r="N86" t="e">
        <f>AND(#REF!,"AAAAAD/ldw0=")</f>
        <v>#REF!</v>
      </c>
      <c r="O86" t="e">
        <f>AND(#REF!,"AAAAAD/ldw4=")</f>
        <v>#REF!</v>
      </c>
      <c r="P86" t="e">
        <f>AND(#REF!,"AAAAAD/ldw8=")</f>
        <v>#REF!</v>
      </c>
      <c r="Q86" t="e">
        <f>AND(#REF!,"AAAAAD/ldxA=")</f>
        <v>#REF!</v>
      </c>
      <c r="R86" t="e">
        <f>AND(#REF!,"AAAAAD/ldxE=")</f>
        <v>#REF!</v>
      </c>
      <c r="S86" t="e">
        <f>AND(#REF!,"AAAAAD/ldxI=")</f>
        <v>#REF!</v>
      </c>
      <c r="T86" t="e">
        <f>AND(#REF!,"AAAAAD/ldxM=")</f>
        <v>#REF!</v>
      </c>
      <c r="U86" t="e">
        <f>AND(#REF!,"AAAAAD/ldxQ=")</f>
        <v>#REF!</v>
      </c>
      <c r="V86" t="e">
        <f>AND(#REF!,"AAAAAD/ldxU=")</f>
        <v>#REF!</v>
      </c>
      <c r="W86" t="e">
        <f>AND(#REF!,"AAAAAD/ldxY=")</f>
        <v>#REF!</v>
      </c>
      <c r="X86" t="e">
        <f>AND(#REF!,"AAAAAD/ldxc=")</f>
        <v>#REF!</v>
      </c>
      <c r="Y86" t="e">
        <f>AND(#REF!,"AAAAAD/ldxg=")</f>
        <v>#REF!</v>
      </c>
      <c r="Z86" t="e">
        <f>AND(#REF!,"AAAAAD/ldxk=")</f>
        <v>#REF!</v>
      </c>
      <c r="AA86" t="e">
        <f>AND(#REF!,"AAAAAD/ldxo=")</f>
        <v>#REF!</v>
      </c>
      <c r="AB86" t="e">
        <f>AND(#REF!,"AAAAAD/ldxs=")</f>
        <v>#REF!</v>
      </c>
      <c r="AC86" t="e">
        <f>AND(#REF!,"AAAAAD/ldxw=")</f>
        <v>#REF!</v>
      </c>
      <c r="AD86" t="e">
        <f>AND(#REF!,"AAAAAD/ldx0=")</f>
        <v>#REF!</v>
      </c>
      <c r="AE86" t="e">
        <f>AND(#REF!,"AAAAAD/ldx4=")</f>
        <v>#REF!</v>
      </c>
      <c r="AF86" t="e">
        <f>AND(#REF!,"AAAAAD/ldx8=")</f>
        <v>#REF!</v>
      </c>
      <c r="AG86" t="e">
        <f>AND(#REF!,"AAAAAD/ldyA=")</f>
        <v>#REF!</v>
      </c>
      <c r="AH86" t="e">
        <f>AND(#REF!,"AAAAAD/ldyE=")</f>
        <v>#REF!</v>
      </c>
      <c r="AI86" t="e">
        <f>AND(#REF!,"AAAAAD/ldyI=")</f>
        <v>#REF!</v>
      </c>
      <c r="AJ86" t="e">
        <f>AND(#REF!,"AAAAAD/ldyM=")</f>
        <v>#REF!</v>
      </c>
      <c r="AK86" t="e">
        <f>AND(#REF!,"AAAAAD/ldyQ=")</f>
        <v>#REF!</v>
      </c>
      <c r="AL86" t="e">
        <f>AND(#REF!,"AAAAAD/ldyU=")</f>
        <v>#REF!</v>
      </c>
      <c r="AM86" t="e">
        <f>AND(#REF!,"AAAAAD/ldyY=")</f>
        <v>#REF!</v>
      </c>
      <c r="AN86" t="e">
        <f>AND(#REF!,"AAAAAD/ldyc=")</f>
        <v>#REF!</v>
      </c>
      <c r="AO86" t="e">
        <f>AND(#REF!,"AAAAAD/ldyg=")</f>
        <v>#REF!</v>
      </c>
      <c r="AP86" t="e">
        <f>AND(#REF!,"AAAAAD/ldyk=")</f>
        <v>#REF!</v>
      </c>
      <c r="AQ86" t="e">
        <f>AND(#REF!,"AAAAAD/ldyo=")</f>
        <v>#REF!</v>
      </c>
      <c r="AR86" t="e">
        <f>AND(#REF!,"AAAAAD/ldys=")</f>
        <v>#REF!</v>
      </c>
      <c r="AS86" t="e">
        <f>AND(#REF!,"AAAAAD/ldyw=")</f>
        <v>#REF!</v>
      </c>
      <c r="AT86" t="e">
        <f>AND(#REF!,"AAAAAD/ldy0=")</f>
        <v>#REF!</v>
      </c>
      <c r="AU86" t="e">
        <f>AND(#REF!,"AAAAAD/ldy4=")</f>
        <v>#REF!</v>
      </c>
      <c r="AV86" t="e">
        <f>AND(#REF!,"AAAAAD/ldy8=")</f>
        <v>#REF!</v>
      </c>
      <c r="AW86" t="e">
        <f>AND(#REF!,"AAAAAD/ldzA=")</f>
        <v>#REF!</v>
      </c>
      <c r="AX86" t="e">
        <f>AND(#REF!,"AAAAAD/ldzE=")</f>
        <v>#REF!</v>
      </c>
      <c r="AY86" t="e">
        <f>AND(#REF!,"AAAAAD/ldzI=")</f>
        <v>#REF!</v>
      </c>
      <c r="AZ86" t="e">
        <f>AND(#REF!,"AAAAAD/ldzM=")</f>
        <v>#REF!</v>
      </c>
      <c r="BA86" t="e">
        <f>AND(#REF!,"AAAAAD/ldzQ=")</f>
        <v>#REF!</v>
      </c>
      <c r="BB86" t="e">
        <f>AND(#REF!,"AAAAAD/ldzU=")</f>
        <v>#REF!</v>
      </c>
      <c r="BC86" t="e">
        <f>IF(#REF!,"AAAAAD/ldzY=",0)</f>
        <v>#REF!</v>
      </c>
      <c r="BD86" t="e">
        <f>AND(#REF!,"AAAAAD/ldzc=")</f>
        <v>#REF!</v>
      </c>
      <c r="BE86" t="e">
        <f>AND(#REF!,"AAAAAD/ldzg=")</f>
        <v>#REF!</v>
      </c>
      <c r="BF86" t="e">
        <f>AND(#REF!,"AAAAAD/ldzk=")</f>
        <v>#REF!</v>
      </c>
      <c r="BG86" t="e">
        <f>AND(#REF!,"AAAAAD/ldzo=")</f>
        <v>#REF!</v>
      </c>
      <c r="BH86" t="e">
        <f>AND(#REF!,"AAAAAD/ldzs=")</f>
        <v>#REF!</v>
      </c>
      <c r="BI86" t="e">
        <f>AND(#REF!,"AAAAAD/ldzw=")</f>
        <v>#REF!</v>
      </c>
      <c r="BJ86" t="e">
        <f>AND(#REF!,"AAAAAD/ldz0=")</f>
        <v>#REF!</v>
      </c>
      <c r="BK86" t="e">
        <f>AND(#REF!,"AAAAAD/ldz4=")</f>
        <v>#REF!</v>
      </c>
      <c r="BL86" t="e">
        <f>AND(#REF!,"AAAAAD/ldz8=")</f>
        <v>#REF!</v>
      </c>
      <c r="BM86" t="e">
        <f>AND(#REF!,"AAAAAD/ld0A=")</f>
        <v>#REF!</v>
      </c>
      <c r="BN86" t="e">
        <f>AND(#REF!,"AAAAAD/ld0E=")</f>
        <v>#REF!</v>
      </c>
      <c r="BO86" t="e">
        <f>AND(#REF!,"AAAAAD/ld0I=")</f>
        <v>#REF!</v>
      </c>
      <c r="BP86" t="e">
        <f>AND(#REF!,"AAAAAD/ld0M=")</f>
        <v>#REF!</v>
      </c>
      <c r="BQ86" t="e">
        <f>AND(#REF!,"AAAAAD/ld0Q=")</f>
        <v>#REF!</v>
      </c>
      <c r="BR86" t="e">
        <f>AND(#REF!,"AAAAAD/ld0U=")</f>
        <v>#REF!</v>
      </c>
      <c r="BS86" t="e">
        <f>AND(#REF!,"AAAAAD/ld0Y=")</f>
        <v>#REF!</v>
      </c>
      <c r="BT86" t="e">
        <f>AND(#REF!,"AAAAAD/ld0c=")</f>
        <v>#REF!</v>
      </c>
      <c r="BU86" t="e">
        <f>AND(#REF!,"AAAAAD/ld0g=")</f>
        <v>#REF!</v>
      </c>
      <c r="BV86" t="e">
        <f>AND(#REF!,"AAAAAD/ld0k=")</f>
        <v>#REF!</v>
      </c>
      <c r="BW86" t="e">
        <f>AND(#REF!,"AAAAAD/ld0o=")</f>
        <v>#REF!</v>
      </c>
      <c r="BX86" t="e">
        <f>AND(#REF!,"AAAAAD/ld0s=")</f>
        <v>#REF!</v>
      </c>
      <c r="BY86" t="e">
        <f>AND(#REF!,"AAAAAD/ld0w=")</f>
        <v>#REF!</v>
      </c>
      <c r="BZ86" t="e">
        <f>AND(#REF!,"AAAAAD/ld00=")</f>
        <v>#REF!</v>
      </c>
      <c r="CA86" t="e">
        <f>AND(#REF!,"AAAAAD/ld04=")</f>
        <v>#REF!</v>
      </c>
      <c r="CB86" t="e">
        <f>AND(#REF!,"AAAAAD/ld08=")</f>
        <v>#REF!</v>
      </c>
      <c r="CC86" t="e">
        <f>AND(#REF!,"AAAAAD/ld1A=")</f>
        <v>#REF!</v>
      </c>
      <c r="CD86" t="e">
        <f>AND(#REF!,"AAAAAD/ld1E=")</f>
        <v>#REF!</v>
      </c>
      <c r="CE86" t="e">
        <f>AND(#REF!,"AAAAAD/ld1I=")</f>
        <v>#REF!</v>
      </c>
      <c r="CF86" t="e">
        <f>AND(#REF!,"AAAAAD/ld1M=")</f>
        <v>#REF!</v>
      </c>
      <c r="CG86" t="e">
        <f>AND(#REF!,"AAAAAD/ld1Q=")</f>
        <v>#REF!</v>
      </c>
      <c r="CH86" t="e">
        <f>AND(#REF!,"AAAAAD/ld1U=")</f>
        <v>#REF!</v>
      </c>
      <c r="CI86" t="e">
        <f>AND(#REF!,"AAAAAD/ld1Y=")</f>
        <v>#REF!</v>
      </c>
      <c r="CJ86" t="e">
        <f>AND(#REF!,"AAAAAD/ld1c=")</f>
        <v>#REF!</v>
      </c>
      <c r="CK86" t="e">
        <f>AND(#REF!,"AAAAAD/ld1g=")</f>
        <v>#REF!</v>
      </c>
      <c r="CL86" t="e">
        <f>AND(#REF!,"AAAAAD/ld1k=")</f>
        <v>#REF!</v>
      </c>
      <c r="CM86" t="e">
        <f>AND(#REF!,"AAAAAD/ld1o=")</f>
        <v>#REF!</v>
      </c>
      <c r="CN86" t="e">
        <f>AND(#REF!,"AAAAAD/ld1s=")</f>
        <v>#REF!</v>
      </c>
      <c r="CO86" t="e">
        <f>AND(#REF!,"AAAAAD/ld1w=")</f>
        <v>#REF!</v>
      </c>
      <c r="CP86" t="e">
        <f>AND(#REF!,"AAAAAD/ld10=")</f>
        <v>#REF!</v>
      </c>
      <c r="CQ86" t="e">
        <f>AND(#REF!,"AAAAAD/ld14=")</f>
        <v>#REF!</v>
      </c>
      <c r="CR86" t="e">
        <f>AND(#REF!,"AAAAAD/ld18=")</f>
        <v>#REF!</v>
      </c>
      <c r="CS86" t="e">
        <f>AND(#REF!,"AAAAAD/ld2A=")</f>
        <v>#REF!</v>
      </c>
      <c r="CT86" t="e">
        <f>AND(#REF!,"AAAAAD/ld2E=")</f>
        <v>#REF!</v>
      </c>
      <c r="CU86" t="e">
        <f>AND(#REF!,"AAAAAD/ld2I=")</f>
        <v>#REF!</v>
      </c>
      <c r="CV86" t="e">
        <f>AND(#REF!,"AAAAAD/ld2M=")</f>
        <v>#REF!</v>
      </c>
      <c r="CW86" t="e">
        <f>AND(#REF!,"AAAAAD/ld2Q=")</f>
        <v>#REF!</v>
      </c>
      <c r="CX86" t="e">
        <f>AND(#REF!,"AAAAAD/ld2U=")</f>
        <v>#REF!</v>
      </c>
      <c r="CY86" t="e">
        <f>AND(#REF!,"AAAAAD/ld2Y=")</f>
        <v>#REF!</v>
      </c>
      <c r="CZ86" t="e">
        <f>AND(#REF!,"AAAAAD/ld2c=")</f>
        <v>#REF!</v>
      </c>
      <c r="DA86" t="e">
        <f>AND(#REF!,"AAAAAD/ld2g=")</f>
        <v>#REF!</v>
      </c>
      <c r="DB86" t="e">
        <f>AND(#REF!,"AAAAAD/ld2k=")</f>
        <v>#REF!</v>
      </c>
      <c r="DC86" t="e">
        <f>AND(#REF!,"AAAAAD/ld2o=")</f>
        <v>#REF!</v>
      </c>
      <c r="DD86" t="e">
        <f>AND(#REF!,"AAAAAD/ld2s=")</f>
        <v>#REF!</v>
      </c>
      <c r="DE86" t="e">
        <f>AND(#REF!,"AAAAAD/ld2w=")</f>
        <v>#REF!</v>
      </c>
      <c r="DF86" t="e">
        <f>IF(#REF!,"AAAAAD/ld20=",0)</f>
        <v>#REF!</v>
      </c>
      <c r="DG86" t="e">
        <f>AND(#REF!,"AAAAAD/ld24=")</f>
        <v>#REF!</v>
      </c>
      <c r="DH86" t="e">
        <f>AND(#REF!,"AAAAAD/ld28=")</f>
        <v>#REF!</v>
      </c>
      <c r="DI86" t="e">
        <f>AND(#REF!,"AAAAAD/ld3A=")</f>
        <v>#REF!</v>
      </c>
      <c r="DJ86" t="e">
        <f>AND(#REF!,"AAAAAD/ld3E=")</f>
        <v>#REF!</v>
      </c>
      <c r="DK86" t="e">
        <f>AND(#REF!,"AAAAAD/ld3I=")</f>
        <v>#REF!</v>
      </c>
      <c r="DL86" t="e">
        <f>AND(#REF!,"AAAAAD/ld3M=")</f>
        <v>#REF!</v>
      </c>
      <c r="DM86" t="e">
        <f>AND(#REF!,"AAAAAD/ld3Q=")</f>
        <v>#REF!</v>
      </c>
      <c r="DN86" t="e">
        <f>AND(#REF!,"AAAAAD/ld3U=")</f>
        <v>#REF!</v>
      </c>
      <c r="DO86" t="e">
        <f>AND(#REF!,"AAAAAD/ld3Y=")</f>
        <v>#REF!</v>
      </c>
      <c r="DP86" t="e">
        <f>AND(#REF!,"AAAAAD/ld3c=")</f>
        <v>#REF!</v>
      </c>
      <c r="DQ86" t="e">
        <f>AND(#REF!,"AAAAAD/ld3g=")</f>
        <v>#REF!</v>
      </c>
      <c r="DR86" t="e">
        <f>AND(#REF!,"AAAAAD/ld3k=")</f>
        <v>#REF!</v>
      </c>
      <c r="DS86" t="e">
        <f>AND(#REF!,"AAAAAD/ld3o=")</f>
        <v>#REF!</v>
      </c>
      <c r="DT86" t="e">
        <f>AND(#REF!,"AAAAAD/ld3s=")</f>
        <v>#REF!</v>
      </c>
      <c r="DU86" t="e">
        <f>AND(#REF!,"AAAAAD/ld3w=")</f>
        <v>#REF!</v>
      </c>
      <c r="DV86" t="e">
        <f>AND(#REF!,"AAAAAD/ld30=")</f>
        <v>#REF!</v>
      </c>
      <c r="DW86" t="e">
        <f>AND(#REF!,"AAAAAD/ld34=")</f>
        <v>#REF!</v>
      </c>
      <c r="DX86" t="e">
        <f>AND(#REF!,"AAAAAD/ld38=")</f>
        <v>#REF!</v>
      </c>
      <c r="DY86" t="e">
        <f>AND(#REF!,"AAAAAD/ld4A=")</f>
        <v>#REF!</v>
      </c>
      <c r="DZ86" t="e">
        <f>AND(#REF!,"AAAAAD/ld4E=")</f>
        <v>#REF!</v>
      </c>
      <c r="EA86" t="e">
        <f>AND(#REF!,"AAAAAD/ld4I=")</f>
        <v>#REF!</v>
      </c>
      <c r="EB86" t="e">
        <f>AND(#REF!,"AAAAAD/ld4M=")</f>
        <v>#REF!</v>
      </c>
      <c r="EC86" t="e">
        <f>AND(#REF!,"AAAAAD/ld4Q=")</f>
        <v>#REF!</v>
      </c>
      <c r="ED86" t="e">
        <f>AND(#REF!,"AAAAAD/ld4U=")</f>
        <v>#REF!</v>
      </c>
      <c r="EE86" t="e">
        <f>AND(#REF!,"AAAAAD/ld4Y=")</f>
        <v>#REF!</v>
      </c>
      <c r="EF86" t="e">
        <f>AND(#REF!,"AAAAAD/ld4c=")</f>
        <v>#REF!</v>
      </c>
      <c r="EG86" t="e">
        <f>AND(#REF!,"AAAAAD/ld4g=")</f>
        <v>#REF!</v>
      </c>
      <c r="EH86" t="e">
        <f>AND(#REF!,"AAAAAD/ld4k=")</f>
        <v>#REF!</v>
      </c>
      <c r="EI86" t="e">
        <f>AND(#REF!,"AAAAAD/ld4o=")</f>
        <v>#REF!</v>
      </c>
      <c r="EJ86" t="e">
        <f>AND(#REF!,"AAAAAD/ld4s=")</f>
        <v>#REF!</v>
      </c>
      <c r="EK86" t="e">
        <f>AND(#REF!,"AAAAAD/ld4w=")</f>
        <v>#REF!</v>
      </c>
      <c r="EL86" t="e">
        <f>AND(#REF!,"AAAAAD/ld40=")</f>
        <v>#REF!</v>
      </c>
      <c r="EM86" t="e">
        <f>AND(#REF!,"AAAAAD/ld44=")</f>
        <v>#REF!</v>
      </c>
      <c r="EN86" t="e">
        <f>AND(#REF!,"AAAAAD/ld48=")</f>
        <v>#REF!</v>
      </c>
      <c r="EO86" t="e">
        <f>AND(#REF!,"AAAAAD/ld5A=")</f>
        <v>#REF!</v>
      </c>
      <c r="EP86" t="e">
        <f>AND(#REF!,"AAAAAD/ld5E=")</f>
        <v>#REF!</v>
      </c>
      <c r="EQ86" t="e">
        <f>AND(#REF!,"AAAAAD/ld5I=")</f>
        <v>#REF!</v>
      </c>
      <c r="ER86" t="e">
        <f>AND(#REF!,"AAAAAD/ld5M=")</f>
        <v>#REF!</v>
      </c>
      <c r="ES86" t="e">
        <f>AND(#REF!,"AAAAAD/ld5Q=")</f>
        <v>#REF!</v>
      </c>
      <c r="ET86" t="e">
        <f>AND(#REF!,"AAAAAD/ld5U=")</f>
        <v>#REF!</v>
      </c>
      <c r="EU86" t="e">
        <f>AND(#REF!,"AAAAAD/ld5Y=")</f>
        <v>#REF!</v>
      </c>
      <c r="EV86" t="e">
        <f>AND(#REF!,"AAAAAD/ld5c=")</f>
        <v>#REF!</v>
      </c>
      <c r="EW86" t="e">
        <f>AND(#REF!,"AAAAAD/ld5g=")</f>
        <v>#REF!</v>
      </c>
      <c r="EX86" t="e">
        <f>AND(#REF!,"AAAAAD/ld5k=")</f>
        <v>#REF!</v>
      </c>
      <c r="EY86" t="e">
        <f>AND(#REF!,"AAAAAD/ld5o=")</f>
        <v>#REF!</v>
      </c>
      <c r="EZ86" t="e">
        <f>AND(#REF!,"AAAAAD/ld5s=")</f>
        <v>#REF!</v>
      </c>
      <c r="FA86" t="e">
        <f>AND(#REF!,"AAAAAD/ld5w=")</f>
        <v>#REF!</v>
      </c>
      <c r="FB86" t="e">
        <f>AND(#REF!,"AAAAAD/ld50=")</f>
        <v>#REF!</v>
      </c>
      <c r="FC86" t="e">
        <f>AND(#REF!,"AAAAAD/ld54=")</f>
        <v>#REF!</v>
      </c>
      <c r="FD86" t="e">
        <f>AND(#REF!,"AAAAAD/ld58=")</f>
        <v>#REF!</v>
      </c>
      <c r="FE86" t="e">
        <f>AND(#REF!,"AAAAAD/ld6A=")</f>
        <v>#REF!</v>
      </c>
      <c r="FF86" t="e">
        <f>AND(#REF!,"AAAAAD/ld6E=")</f>
        <v>#REF!</v>
      </c>
      <c r="FG86" t="e">
        <f>AND(#REF!,"AAAAAD/ld6I=")</f>
        <v>#REF!</v>
      </c>
      <c r="FH86" t="e">
        <f>AND(#REF!,"AAAAAD/ld6M=")</f>
        <v>#REF!</v>
      </c>
      <c r="FI86" t="e">
        <f>IF(#REF!,"AAAAAD/ld6Q=",0)</f>
        <v>#REF!</v>
      </c>
      <c r="FJ86" t="e">
        <f>AND(#REF!,"AAAAAD/ld6U=")</f>
        <v>#REF!</v>
      </c>
      <c r="FK86" t="e">
        <f>AND(#REF!,"AAAAAD/ld6Y=")</f>
        <v>#REF!</v>
      </c>
      <c r="FL86" t="e">
        <f>AND(#REF!,"AAAAAD/ld6c=")</f>
        <v>#REF!</v>
      </c>
      <c r="FM86" t="e">
        <f>AND(#REF!,"AAAAAD/ld6g=")</f>
        <v>#REF!</v>
      </c>
      <c r="FN86" t="e">
        <f>AND(#REF!,"AAAAAD/ld6k=")</f>
        <v>#REF!</v>
      </c>
      <c r="FO86" t="e">
        <f>AND(#REF!,"AAAAAD/ld6o=")</f>
        <v>#REF!</v>
      </c>
      <c r="FP86" t="e">
        <f>AND(#REF!,"AAAAAD/ld6s=")</f>
        <v>#REF!</v>
      </c>
      <c r="FQ86" t="e">
        <f>AND(#REF!,"AAAAAD/ld6w=")</f>
        <v>#REF!</v>
      </c>
      <c r="FR86" t="e">
        <f>AND(#REF!,"AAAAAD/ld60=")</f>
        <v>#REF!</v>
      </c>
      <c r="FS86" t="e">
        <f>AND(#REF!,"AAAAAD/ld64=")</f>
        <v>#REF!</v>
      </c>
      <c r="FT86" t="e">
        <f>AND(#REF!,"AAAAAD/ld68=")</f>
        <v>#REF!</v>
      </c>
      <c r="FU86" t="e">
        <f>AND(#REF!,"AAAAAD/ld7A=")</f>
        <v>#REF!</v>
      </c>
      <c r="FV86" t="e">
        <f>AND(#REF!,"AAAAAD/ld7E=")</f>
        <v>#REF!</v>
      </c>
      <c r="FW86" t="e">
        <f>AND(#REF!,"AAAAAD/ld7I=")</f>
        <v>#REF!</v>
      </c>
      <c r="FX86" t="e">
        <f>AND(#REF!,"AAAAAD/ld7M=")</f>
        <v>#REF!</v>
      </c>
      <c r="FY86" t="e">
        <f>AND(#REF!,"AAAAAD/ld7Q=")</f>
        <v>#REF!</v>
      </c>
      <c r="FZ86" t="e">
        <f>AND(#REF!,"AAAAAD/ld7U=")</f>
        <v>#REF!</v>
      </c>
      <c r="GA86" t="e">
        <f>AND(#REF!,"AAAAAD/ld7Y=")</f>
        <v>#REF!</v>
      </c>
      <c r="GB86" t="e">
        <f>AND(#REF!,"AAAAAD/ld7c=")</f>
        <v>#REF!</v>
      </c>
      <c r="GC86" t="e">
        <f>AND(#REF!,"AAAAAD/ld7g=")</f>
        <v>#REF!</v>
      </c>
      <c r="GD86" t="e">
        <f>AND(#REF!,"AAAAAD/ld7k=")</f>
        <v>#REF!</v>
      </c>
      <c r="GE86" t="e">
        <f>AND(#REF!,"AAAAAD/ld7o=")</f>
        <v>#REF!</v>
      </c>
      <c r="GF86" t="e">
        <f>AND(#REF!,"AAAAAD/ld7s=")</f>
        <v>#REF!</v>
      </c>
      <c r="GG86" t="e">
        <f>AND(#REF!,"AAAAAD/ld7w=")</f>
        <v>#REF!</v>
      </c>
      <c r="GH86" t="e">
        <f>AND(#REF!,"AAAAAD/ld70=")</f>
        <v>#REF!</v>
      </c>
      <c r="GI86" t="e">
        <f>AND(#REF!,"AAAAAD/ld74=")</f>
        <v>#REF!</v>
      </c>
      <c r="GJ86" t="e">
        <f>AND(#REF!,"AAAAAD/ld78=")</f>
        <v>#REF!</v>
      </c>
      <c r="GK86" t="e">
        <f>AND(#REF!,"AAAAAD/ld8A=")</f>
        <v>#REF!</v>
      </c>
      <c r="GL86" t="e">
        <f>AND(#REF!,"AAAAAD/ld8E=")</f>
        <v>#REF!</v>
      </c>
      <c r="GM86" t="e">
        <f>AND(#REF!,"AAAAAD/ld8I=")</f>
        <v>#REF!</v>
      </c>
      <c r="GN86" t="e">
        <f>AND(#REF!,"AAAAAD/ld8M=")</f>
        <v>#REF!</v>
      </c>
      <c r="GO86" t="e">
        <f>AND(#REF!,"AAAAAD/ld8Q=")</f>
        <v>#REF!</v>
      </c>
      <c r="GP86" t="e">
        <f>AND(#REF!,"AAAAAD/ld8U=")</f>
        <v>#REF!</v>
      </c>
      <c r="GQ86" t="e">
        <f>AND(#REF!,"AAAAAD/ld8Y=")</f>
        <v>#REF!</v>
      </c>
      <c r="GR86" t="e">
        <f>AND(#REF!,"AAAAAD/ld8c=")</f>
        <v>#REF!</v>
      </c>
      <c r="GS86" t="e">
        <f>AND(#REF!,"AAAAAD/ld8g=")</f>
        <v>#REF!</v>
      </c>
      <c r="GT86" t="e">
        <f>AND(#REF!,"AAAAAD/ld8k=")</f>
        <v>#REF!</v>
      </c>
      <c r="GU86" t="e">
        <f>AND(#REF!,"AAAAAD/ld8o=")</f>
        <v>#REF!</v>
      </c>
      <c r="GV86" t="e">
        <f>AND(#REF!,"AAAAAD/ld8s=")</f>
        <v>#REF!</v>
      </c>
      <c r="GW86" t="e">
        <f>AND(#REF!,"AAAAAD/ld8w=")</f>
        <v>#REF!</v>
      </c>
      <c r="GX86" t="e">
        <f>AND(#REF!,"AAAAAD/ld80=")</f>
        <v>#REF!</v>
      </c>
      <c r="GY86" t="e">
        <f>AND(#REF!,"AAAAAD/ld84=")</f>
        <v>#REF!</v>
      </c>
      <c r="GZ86" t="e">
        <f>AND(#REF!,"AAAAAD/ld88=")</f>
        <v>#REF!</v>
      </c>
      <c r="HA86" t="e">
        <f>AND(#REF!,"AAAAAD/ld9A=")</f>
        <v>#REF!</v>
      </c>
      <c r="HB86" t="e">
        <f>AND(#REF!,"AAAAAD/ld9E=")</f>
        <v>#REF!</v>
      </c>
      <c r="HC86" t="e">
        <f>AND(#REF!,"AAAAAD/ld9I=")</f>
        <v>#REF!</v>
      </c>
      <c r="HD86" t="e">
        <f>AND(#REF!,"AAAAAD/ld9M=")</f>
        <v>#REF!</v>
      </c>
      <c r="HE86" t="e">
        <f>AND(#REF!,"AAAAAD/ld9Q=")</f>
        <v>#REF!</v>
      </c>
      <c r="HF86" t="e">
        <f>AND(#REF!,"AAAAAD/ld9U=")</f>
        <v>#REF!</v>
      </c>
      <c r="HG86" t="e">
        <f>AND(#REF!,"AAAAAD/ld9Y=")</f>
        <v>#REF!</v>
      </c>
      <c r="HH86" t="e">
        <f>AND(#REF!,"AAAAAD/ld9c=")</f>
        <v>#REF!</v>
      </c>
      <c r="HI86" t="e">
        <f>AND(#REF!,"AAAAAD/ld9g=")</f>
        <v>#REF!</v>
      </c>
      <c r="HJ86" t="e">
        <f>AND(#REF!,"AAAAAD/ld9k=")</f>
        <v>#REF!</v>
      </c>
      <c r="HK86" t="e">
        <f>AND(#REF!,"AAAAAD/ld9o=")</f>
        <v>#REF!</v>
      </c>
      <c r="HL86" t="e">
        <f>IF(#REF!,"AAAAAD/ld9s=",0)</f>
        <v>#REF!</v>
      </c>
      <c r="HM86" t="e">
        <f>AND(#REF!,"AAAAAD/ld9w=")</f>
        <v>#REF!</v>
      </c>
      <c r="HN86" t="e">
        <f>AND(#REF!,"AAAAAD/ld90=")</f>
        <v>#REF!</v>
      </c>
      <c r="HO86" t="e">
        <f>AND(#REF!,"AAAAAD/ld94=")</f>
        <v>#REF!</v>
      </c>
      <c r="HP86" t="e">
        <f>AND(#REF!,"AAAAAD/ld98=")</f>
        <v>#REF!</v>
      </c>
      <c r="HQ86" t="e">
        <f>AND(#REF!,"AAAAAD/ld+A=")</f>
        <v>#REF!</v>
      </c>
      <c r="HR86" t="e">
        <f>AND(#REF!,"AAAAAD/ld+E=")</f>
        <v>#REF!</v>
      </c>
      <c r="HS86" t="e">
        <f>AND(#REF!,"AAAAAD/ld+I=")</f>
        <v>#REF!</v>
      </c>
      <c r="HT86" t="e">
        <f>AND(#REF!,"AAAAAD/ld+M=")</f>
        <v>#REF!</v>
      </c>
      <c r="HU86" t="e">
        <f>AND(#REF!,"AAAAAD/ld+Q=")</f>
        <v>#REF!</v>
      </c>
      <c r="HV86" t="e">
        <f>AND(#REF!,"AAAAAD/ld+U=")</f>
        <v>#REF!</v>
      </c>
      <c r="HW86" t="e">
        <f>AND(#REF!,"AAAAAD/ld+Y=")</f>
        <v>#REF!</v>
      </c>
      <c r="HX86" t="e">
        <f>AND(#REF!,"AAAAAD/ld+c=")</f>
        <v>#REF!</v>
      </c>
      <c r="HY86" t="e">
        <f>AND(#REF!,"AAAAAD/ld+g=")</f>
        <v>#REF!</v>
      </c>
      <c r="HZ86" t="e">
        <f>AND(#REF!,"AAAAAD/ld+k=")</f>
        <v>#REF!</v>
      </c>
      <c r="IA86" t="e">
        <f>AND(#REF!,"AAAAAD/ld+o=")</f>
        <v>#REF!</v>
      </c>
      <c r="IB86" t="e">
        <f>AND(#REF!,"AAAAAD/ld+s=")</f>
        <v>#REF!</v>
      </c>
      <c r="IC86" t="e">
        <f>AND(#REF!,"AAAAAD/ld+w=")</f>
        <v>#REF!</v>
      </c>
      <c r="ID86" t="e">
        <f>AND(#REF!,"AAAAAD/ld+0=")</f>
        <v>#REF!</v>
      </c>
      <c r="IE86" t="e">
        <f>AND(#REF!,"AAAAAD/ld+4=")</f>
        <v>#REF!</v>
      </c>
      <c r="IF86" t="e">
        <f>AND(#REF!,"AAAAAD/ld+8=")</f>
        <v>#REF!</v>
      </c>
      <c r="IG86" t="e">
        <f>AND(#REF!,"AAAAAD/ld/A=")</f>
        <v>#REF!</v>
      </c>
      <c r="IH86" t="e">
        <f>AND(#REF!,"AAAAAD/ld/E=")</f>
        <v>#REF!</v>
      </c>
      <c r="II86" t="e">
        <f>AND(#REF!,"AAAAAD/ld/I=")</f>
        <v>#REF!</v>
      </c>
      <c r="IJ86" t="e">
        <f>AND(#REF!,"AAAAAD/ld/M=")</f>
        <v>#REF!</v>
      </c>
      <c r="IK86" t="e">
        <f>AND(#REF!,"AAAAAD/ld/Q=")</f>
        <v>#REF!</v>
      </c>
      <c r="IL86" t="e">
        <f>AND(#REF!,"AAAAAD/ld/U=")</f>
        <v>#REF!</v>
      </c>
      <c r="IM86" t="e">
        <f>AND(#REF!,"AAAAAD/ld/Y=")</f>
        <v>#REF!</v>
      </c>
      <c r="IN86" t="e">
        <f>AND(#REF!,"AAAAAD/ld/c=")</f>
        <v>#REF!</v>
      </c>
      <c r="IO86" t="e">
        <f>AND(#REF!,"AAAAAD/ld/g=")</f>
        <v>#REF!</v>
      </c>
      <c r="IP86" t="e">
        <f>AND(#REF!,"AAAAAD/ld/k=")</f>
        <v>#REF!</v>
      </c>
      <c r="IQ86" t="e">
        <f>AND(#REF!,"AAAAAD/ld/o=")</f>
        <v>#REF!</v>
      </c>
      <c r="IR86" t="e">
        <f>AND(#REF!,"AAAAAD/ld/s=")</f>
        <v>#REF!</v>
      </c>
      <c r="IS86" t="e">
        <f>AND(#REF!,"AAAAAD/ld/w=")</f>
        <v>#REF!</v>
      </c>
      <c r="IT86" t="e">
        <f>AND(#REF!,"AAAAAD/ld/0=")</f>
        <v>#REF!</v>
      </c>
      <c r="IU86" t="e">
        <f>AND(#REF!,"AAAAAD/ld/4=")</f>
        <v>#REF!</v>
      </c>
      <c r="IV86" t="e">
        <f>AND(#REF!,"AAAAAD/ld/8=")</f>
        <v>#REF!</v>
      </c>
    </row>
    <row r="87" spans="1:256" x14ac:dyDescent="0.25">
      <c r="A87" t="e">
        <f>AND(#REF!,"AAAAAH79/QA=")</f>
        <v>#REF!</v>
      </c>
      <c r="B87" t="e">
        <f>AND(#REF!,"AAAAAH79/QE=")</f>
        <v>#REF!</v>
      </c>
      <c r="C87" t="e">
        <f>AND(#REF!,"AAAAAH79/QI=")</f>
        <v>#REF!</v>
      </c>
      <c r="D87" t="e">
        <f>AND(#REF!,"AAAAAH79/QM=")</f>
        <v>#REF!</v>
      </c>
      <c r="E87" t="e">
        <f>AND(#REF!,"AAAAAH79/QQ=")</f>
        <v>#REF!</v>
      </c>
      <c r="F87" t="e">
        <f>AND(#REF!,"AAAAAH79/QU=")</f>
        <v>#REF!</v>
      </c>
      <c r="G87" t="e">
        <f>AND(#REF!,"AAAAAH79/QY=")</f>
        <v>#REF!</v>
      </c>
      <c r="H87" t="e">
        <f>AND(#REF!,"AAAAAH79/Qc=")</f>
        <v>#REF!</v>
      </c>
      <c r="I87" t="e">
        <f>AND(#REF!,"AAAAAH79/Qg=")</f>
        <v>#REF!</v>
      </c>
      <c r="J87" t="e">
        <f>AND(#REF!,"AAAAAH79/Qk=")</f>
        <v>#REF!</v>
      </c>
      <c r="K87" t="e">
        <f>AND(#REF!,"AAAAAH79/Qo=")</f>
        <v>#REF!</v>
      </c>
      <c r="L87" t="e">
        <f>AND(#REF!,"AAAAAH79/Qs=")</f>
        <v>#REF!</v>
      </c>
      <c r="M87" t="e">
        <f>AND(#REF!,"AAAAAH79/Qw=")</f>
        <v>#REF!</v>
      </c>
      <c r="N87" t="e">
        <f>AND(#REF!,"AAAAAH79/Q0=")</f>
        <v>#REF!</v>
      </c>
      <c r="O87" t="e">
        <f>AND(#REF!,"AAAAAH79/Q4=")</f>
        <v>#REF!</v>
      </c>
      <c r="P87" t="e">
        <f>AND(#REF!,"AAAAAH79/Q8=")</f>
        <v>#REF!</v>
      </c>
      <c r="Q87" t="e">
        <f>AND(#REF!,"AAAAAH79/RA=")</f>
        <v>#REF!</v>
      </c>
      <c r="R87" t="e">
        <f>AND(#REF!,"AAAAAH79/RE=")</f>
        <v>#REF!</v>
      </c>
      <c r="S87" t="e">
        <f>IF(#REF!,"AAAAAH79/RI=",0)</f>
        <v>#REF!</v>
      </c>
      <c r="T87" t="e">
        <f>AND(#REF!,"AAAAAH79/RM=")</f>
        <v>#REF!</v>
      </c>
      <c r="U87" t="e">
        <f>AND(#REF!,"AAAAAH79/RQ=")</f>
        <v>#REF!</v>
      </c>
      <c r="V87" t="e">
        <f>AND(#REF!,"AAAAAH79/RU=")</f>
        <v>#REF!</v>
      </c>
      <c r="W87" t="e">
        <f>AND(#REF!,"AAAAAH79/RY=")</f>
        <v>#REF!</v>
      </c>
      <c r="X87" t="e">
        <f>AND(#REF!,"AAAAAH79/Rc=")</f>
        <v>#REF!</v>
      </c>
      <c r="Y87" t="e">
        <f>AND(#REF!,"AAAAAH79/Rg=")</f>
        <v>#REF!</v>
      </c>
      <c r="Z87" t="e">
        <f>AND(#REF!,"AAAAAH79/Rk=")</f>
        <v>#REF!</v>
      </c>
      <c r="AA87" t="e">
        <f>AND(#REF!,"AAAAAH79/Ro=")</f>
        <v>#REF!</v>
      </c>
      <c r="AB87" t="e">
        <f>AND(#REF!,"AAAAAH79/Rs=")</f>
        <v>#REF!</v>
      </c>
      <c r="AC87" t="e">
        <f>AND(#REF!,"AAAAAH79/Rw=")</f>
        <v>#REF!</v>
      </c>
      <c r="AD87" t="e">
        <f>AND(#REF!,"AAAAAH79/R0=")</f>
        <v>#REF!</v>
      </c>
      <c r="AE87" t="e">
        <f>AND(#REF!,"AAAAAH79/R4=")</f>
        <v>#REF!</v>
      </c>
      <c r="AF87" t="e">
        <f>AND(#REF!,"AAAAAH79/R8=")</f>
        <v>#REF!</v>
      </c>
      <c r="AG87" t="e">
        <f>AND(#REF!,"AAAAAH79/SA=")</f>
        <v>#REF!</v>
      </c>
      <c r="AH87" t="e">
        <f>AND(#REF!,"AAAAAH79/SE=")</f>
        <v>#REF!</v>
      </c>
      <c r="AI87" t="e">
        <f>AND(#REF!,"AAAAAH79/SI=")</f>
        <v>#REF!</v>
      </c>
      <c r="AJ87" t="e">
        <f>AND(#REF!,"AAAAAH79/SM=")</f>
        <v>#REF!</v>
      </c>
      <c r="AK87" t="e">
        <f>AND(#REF!,"AAAAAH79/SQ=")</f>
        <v>#REF!</v>
      </c>
      <c r="AL87" t="e">
        <f>AND(#REF!,"AAAAAH79/SU=")</f>
        <v>#REF!</v>
      </c>
      <c r="AM87" t="e">
        <f>AND(#REF!,"AAAAAH79/SY=")</f>
        <v>#REF!</v>
      </c>
      <c r="AN87" t="e">
        <f>AND(#REF!,"AAAAAH79/Sc=")</f>
        <v>#REF!</v>
      </c>
      <c r="AO87" t="e">
        <f>AND(#REF!,"AAAAAH79/Sg=")</f>
        <v>#REF!</v>
      </c>
      <c r="AP87" t="e">
        <f>AND(#REF!,"AAAAAH79/Sk=")</f>
        <v>#REF!</v>
      </c>
      <c r="AQ87" t="e">
        <f>AND(#REF!,"AAAAAH79/So=")</f>
        <v>#REF!</v>
      </c>
      <c r="AR87" t="e">
        <f>AND(#REF!,"AAAAAH79/Ss=")</f>
        <v>#REF!</v>
      </c>
      <c r="AS87" t="e">
        <f>AND(#REF!,"AAAAAH79/Sw=")</f>
        <v>#REF!</v>
      </c>
      <c r="AT87" t="e">
        <f>AND(#REF!,"AAAAAH79/S0=")</f>
        <v>#REF!</v>
      </c>
      <c r="AU87" t="e">
        <f>AND(#REF!,"AAAAAH79/S4=")</f>
        <v>#REF!</v>
      </c>
      <c r="AV87" t="e">
        <f>AND(#REF!,"AAAAAH79/S8=")</f>
        <v>#REF!</v>
      </c>
      <c r="AW87" t="e">
        <f>AND(#REF!,"AAAAAH79/TA=")</f>
        <v>#REF!</v>
      </c>
      <c r="AX87" t="e">
        <f>AND(#REF!,"AAAAAH79/TE=")</f>
        <v>#REF!</v>
      </c>
      <c r="AY87" t="e">
        <f>AND(#REF!,"AAAAAH79/TI=")</f>
        <v>#REF!</v>
      </c>
      <c r="AZ87" t="e">
        <f>AND(#REF!,"AAAAAH79/TM=")</f>
        <v>#REF!</v>
      </c>
      <c r="BA87" t="e">
        <f>AND(#REF!,"AAAAAH79/TQ=")</f>
        <v>#REF!</v>
      </c>
      <c r="BB87" t="e">
        <f>AND(#REF!,"AAAAAH79/TU=")</f>
        <v>#REF!</v>
      </c>
      <c r="BC87" t="e">
        <f>AND(#REF!,"AAAAAH79/TY=")</f>
        <v>#REF!</v>
      </c>
      <c r="BD87" t="e">
        <f>AND(#REF!,"AAAAAH79/Tc=")</f>
        <v>#REF!</v>
      </c>
      <c r="BE87" t="e">
        <f>AND(#REF!,"AAAAAH79/Tg=")</f>
        <v>#REF!</v>
      </c>
      <c r="BF87" t="e">
        <f>AND(#REF!,"AAAAAH79/Tk=")</f>
        <v>#REF!</v>
      </c>
      <c r="BG87" t="e">
        <f>AND(#REF!,"AAAAAH79/To=")</f>
        <v>#REF!</v>
      </c>
      <c r="BH87" t="e">
        <f>AND(#REF!,"AAAAAH79/Ts=")</f>
        <v>#REF!</v>
      </c>
      <c r="BI87" t="e">
        <f>AND(#REF!,"AAAAAH79/Tw=")</f>
        <v>#REF!</v>
      </c>
      <c r="BJ87" t="e">
        <f>AND(#REF!,"AAAAAH79/T0=")</f>
        <v>#REF!</v>
      </c>
      <c r="BK87" t="e">
        <f>AND(#REF!,"AAAAAH79/T4=")</f>
        <v>#REF!</v>
      </c>
      <c r="BL87" t="e">
        <f>AND(#REF!,"AAAAAH79/T8=")</f>
        <v>#REF!</v>
      </c>
      <c r="BM87" t="e">
        <f>AND(#REF!,"AAAAAH79/UA=")</f>
        <v>#REF!</v>
      </c>
      <c r="BN87" t="e">
        <f>AND(#REF!,"AAAAAH79/UE=")</f>
        <v>#REF!</v>
      </c>
      <c r="BO87" t="e">
        <f>AND(#REF!,"AAAAAH79/UI=")</f>
        <v>#REF!</v>
      </c>
      <c r="BP87" t="e">
        <f>AND(#REF!,"AAAAAH79/UM=")</f>
        <v>#REF!</v>
      </c>
      <c r="BQ87" t="e">
        <f>AND(#REF!,"AAAAAH79/UQ=")</f>
        <v>#REF!</v>
      </c>
      <c r="BR87" t="e">
        <f>AND(#REF!,"AAAAAH79/UU=")</f>
        <v>#REF!</v>
      </c>
      <c r="BS87" t="e">
        <f>AND(#REF!,"AAAAAH79/UY=")</f>
        <v>#REF!</v>
      </c>
      <c r="BT87" t="e">
        <f>AND(#REF!,"AAAAAH79/Uc=")</f>
        <v>#REF!</v>
      </c>
      <c r="BU87" t="e">
        <f>AND(#REF!,"AAAAAH79/Ug=")</f>
        <v>#REF!</v>
      </c>
      <c r="BV87" t="e">
        <f>IF(#REF!,"AAAAAH79/Uk=",0)</f>
        <v>#REF!</v>
      </c>
      <c r="BW87" t="e">
        <f>AND(#REF!,"AAAAAH79/Uo=")</f>
        <v>#REF!</v>
      </c>
      <c r="BX87" t="e">
        <f>AND(#REF!,"AAAAAH79/Us=")</f>
        <v>#REF!</v>
      </c>
      <c r="BY87" t="e">
        <f>AND(#REF!,"AAAAAH79/Uw=")</f>
        <v>#REF!</v>
      </c>
      <c r="BZ87" t="e">
        <f>AND(#REF!,"AAAAAH79/U0=")</f>
        <v>#REF!</v>
      </c>
      <c r="CA87" t="e">
        <f>AND(#REF!,"AAAAAH79/U4=")</f>
        <v>#REF!</v>
      </c>
      <c r="CB87" t="e">
        <f>AND(#REF!,"AAAAAH79/U8=")</f>
        <v>#REF!</v>
      </c>
      <c r="CC87" t="e">
        <f>AND(#REF!,"AAAAAH79/VA=")</f>
        <v>#REF!</v>
      </c>
      <c r="CD87" t="e">
        <f>AND(#REF!,"AAAAAH79/VE=")</f>
        <v>#REF!</v>
      </c>
      <c r="CE87" t="e">
        <f>AND(#REF!,"AAAAAH79/VI=")</f>
        <v>#REF!</v>
      </c>
      <c r="CF87" t="e">
        <f>AND(#REF!,"AAAAAH79/VM=")</f>
        <v>#REF!</v>
      </c>
      <c r="CG87" t="e">
        <f>AND(#REF!,"AAAAAH79/VQ=")</f>
        <v>#REF!</v>
      </c>
      <c r="CH87" t="e">
        <f>AND(#REF!,"AAAAAH79/VU=")</f>
        <v>#REF!</v>
      </c>
      <c r="CI87" t="e">
        <f>AND(#REF!,"AAAAAH79/VY=")</f>
        <v>#REF!</v>
      </c>
      <c r="CJ87" t="e">
        <f>AND(#REF!,"AAAAAH79/Vc=")</f>
        <v>#REF!</v>
      </c>
      <c r="CK87" t="e">
        <f>AND(#REF!,"AAAAAH79/Vg=")</f>
        <v>#REF!</v>
      </c>
      <c r="CL87" t="e">
        <f>AND(#REF!,"AAAAAH79/Vk=")</f>
        <v>#REF!</v>
      </c>
      <c r="CM87" t="e">
        <f>AND(#REF!,"AAAAAH79/Vo=")</f>
        <v>#REF!</v>
      </c>
      <c r="CN87" t="e">
        <f>AND(#REF!,"AAAAAH79/Vs=")</f>
        <v>#REF!</v>
      </c>
      <c r="CO87" t="e">
        <f>AND(#REF!,"AAAAAH79/Vw=")</f>
        <v>#REF!</v>
      </c>
      <c r="CP87" t="e">
        <f>AND(#REF!,"AAAAAH79/V0=")</f>
        <v>#REF!</v>
      </c>
      <c r="CQ87" t="e">
        <f>AND(#REF!,"AAAAAH79/V4=")</f>
        <v>#REF!</v>
      </c>
      <c r="CR87" t="e">
        <f>AND(#REF!,"AAAAAH79/V8=")</f>
        <v>#REF!</v>
      </c>
      <c r="CS87" t="e">
        <f>AND(#REF!,"AAAAAH79/WA=")</f>
        <v>#REF!</v>
      </c>
      <c r="CT87" t="e">
        <f>AND(#REF!,"AAAAAH79/WE=")</f>
        <v>#REF!</v>
      </c>
      <c r="CU87" t="e">
        <f>AND(#REF!,"AAAAAH79/WI=")</f>
        <v>#REF!</v>
      </c>
      <c r="CV87" t="e">
        <f>AND(#REF!,"AAAAAH79/WM=")</f>
        <v>#REF!</v>
      </c>
      <c r="CW87" t="e">
        <f>AND(#REF!,"AAAAAH79/WQ=")</f>
        <v>#REF!</v>
      </c>
      <c r="CX87" t="e">
        <f>AND(#REF!,"AAAAAH79/WU=")</f>
        <v>#REF!</v>
      </c>
      <c r="CY87" t="e">
        <f>AND(#REF!,"AAAAAH79/WY=")</f>
        <v>#REF!</v>
      </c>
      <c r="CZ87" t="e">
        <f>AND(#REF!,"AAAAAH79/Wc=")</f>
        <v>#REF!</v>
      </c>
      <c r="DA87" t="e">
        <f>AND(#REF!,"AAAAAH79/Wg=")</f>
        <v>#REF!</v>
      </c>
      <c r="DB87" t="e">
        <f>AND(#REF!,"AAAAAH79/Wk=")</f>
        <v>#REF!</v>
      </c>
      <c r="DC87" t="e">
        <f>AND(#REF!,"AAAAAH79/Wo=")</f>
        <v>#REF!</v>
      </c>
      <c r="DD87" t="e">
        <f>AND(#REF!,"AAAAAH79/Ws=")</f>
        <v>#REF!</v>
      </c>
      <c r="DE87" t="e">
        <f>AND(#REF!,"AAAAAH79/Ww=")</f>
        <v>#REF!</v>
      </c>
      <c r="DF87" t="e">
        <f>AND(#REF!,"AAAAAH79/W0=")</f>
        <v>#REF!</v>
      </c>
      <c r="DG87" t="e">
        <f>AND(#REF!,"AAAAAH79/W4=")</f>
        <v>#REF!</v>
      </c>
      <c r="DH87" t="e">
        <f>AND(#REF!,"AAAAAH79/W8=")</f>
        <v>#REF!</v>
      </c>
      <c r="DI87" t="e">
        <f>AND(#REF!,"AAAAAH79/XA=")</f>
        <v>#REF!</v>
      </c>
      <c r="DJ87" t="e">
        <f>AND(#REF!,"AAAAAH79/XE=")</f>
        <v>#REF!</v>
      </c>
      <c r="DK87" t="e">
        <f>AND(#REF!,"AAAAAH79/XI=")</f>
        <v>#REF!</v>
      </c>
      <c r="DL87" t="e">
        <f>AND(#REF!,"AAAAAH79/XM=")</f>
        <v>#REF!</v>
      </c>
      <c r="DM87" t="e">
        <f>AND(#REF!,"AAAAAH79/XQ=")</f>
        <v>#REF!</v>
      </c>
      <c r="DN87" t="e">
        <f>AND(#REF!,"AAAAAH79/XU=")</f>
        <v>#REF!</v>
      </c>
      <c r="DO87" t="e">
        <f>AND(#REF!,"AAAAAH79/XY=")</f>
        <v>#REF!</v>
      </c>
      <c r="DP87" t="e">
        <f>AND(#REF!,"AAAAAH79/Xc=")</f>
        <v>#REF!</v>
      </c>
      <c r="DQ87" t="e">
        <f>AND(#REF!,"AAAAAH79/Xg=")</f>
        <v>#REF!</v>
      </c>
      <c r="DR87" t="e">
        <f>AND(#REF!,"AAAAAH79/Xk=")</f>
        <v>#REF!</v>
      </c>
      <c r="DS87" t="e">
        <f>AND(#REF!,"AAAAAH79/Xo=")</f>
        <v>#REF!</v>
      </c>
      <c r="DT87" t="e">
        <f>AND(#REF!,"AAAAAH79/Xs=")</f>
        <v>#REF!</v>
      </c>
      <c r="DU87" t="e">
        <f>AND(#REF!,"AAAAAH79/Xw=")</f>
        <v>#REF!</v>
      </c>
      <c r="DV87" t="e">
        <f>AND(#REF!,"AAAAAH79/X0=")</f>
        <v>#REF!</v>
      </c>
      <c r="DW87" t="e">
        <f>AND(#REF!,"AAAAAH79/X4=")</f>
        <v>#REF!</v>
      </c>
      <c r="DX87" t="e">
        <f>AND(#REF!,"AAAAAH79/X8=")</f>
        <v>#REF!</v>
      </c>
      <c r="DY87" t="e">
        <f>IF(#REF!,"AAAAAH79/YA=",0)</f>
        <v>#REF!</v>
      </c>
      <c r="DZ87" t="e">
        <f>AND(#REF!,"AAAAAH79/YE=")</f>
        <v>#REF!</v>
      </c>
      <c r="EA87" t="e">
        <f>AND(#REF!,"AAAAAH79/YI=")</f>
        <v>#REF!</v>
      </c>
      <c r="EB87" t="e">
        <f>AND(#REF!,"AAAAAH79/YM=")</f>
        <v>#REF!</v>
      </c>
      <c r="EC87" t="e">
        <f>AND(#REF!,"AAAAAH79/YQ=")</f>
        <v>#REF!</v>
      </c>
      <c r="ED87" t="e">
        <f>AND(#REF!,"AAAAAH79/YU=")</f>
        <v>#REF!</v>
      </c>
      <c r="EE87" t="e">
        <f>AND(#REF!,"AAAAAH79/YY=")</f>
        <v>#REF!</v>
      </c>
      <c r="EF87" t="e">
        <f>AND(#REF!,"AAAAAH79/Yc=")</f>
        <v>#REF!</v>
      </c>
      <c r="EG87" t="e">
        <f>AND(#REF!,"AAAAAH79/Yg=")</f>
        <v>#REF!</v>
      </c>
      <c r="EH87" t="e">
        <f>AND(#REF!,"AAAAAH79/Yk=")</f>
        <v>#REF!</v>
      </c>
      <c r="EI87" t="e">
        <f>AND(#REF!,"AAAAAH79/Yo=")</f>
        <v>#REF!</v>
      </c>
      <c r="EJ87" t="e">
        <f>AND(#REF!,"AAAAAH79/Ys=")</f>
        <v>#REF!</v>
      </c>
      <c r="EK87" t="e">
        <f>AND(#REF!,"AAAAAH79/Yw=")</f>
        <v>#REF!</v>
      </c>
      <c r="EL87" t="e">
        <f>AND(#REF!,"AAAAAH79/Y0=")</f>
        <v>#REF!</v>
      </c>
      <c r="EM87" t="e">
        <f>AND(#REF!,"AAAAAH79/Y4=")</f>
        <v>#REF!</v>
      </c>
      <c r="EN87" t="e">
        <f>AND(#REF!,"AAAAAH79/Y8=")</f>
        <v>#REF!</v>
      </c>
      <c r="EO87" t="e">
        <f>AND(#REF!,"AAAAAH79/ZA=")</f>
        <v>#REF!</v>
      </c>
      <c r="EP87" t="e">
        <f>AND(#REF!,"AAAAAH79/ZE=")</f>
        <v>#REF!</v>
      </c>
      <c r="EQ87" t="e">
        <f>AND(#REF!,"AAAAAH79/ZI=")</f>
        <v>#REF!</v>
      </c>
      <c r="ER87" t="e">
        <f>AND(#REF!,"AAAAAH79/ZM=")</f>
        <v>#REF!</v>
      </c>
      <c r="ES87" t="e">
        <f>AND(#REF!,"AAAAAH79/ZQ=")</f>
        <v>#REF!</v>
      </c>
      <c r="ET87" t="e">
        <f>AND(#REF!,"AAAAAH79/ZU=")</f>
        <v>#REF!</v>
      </c>
      <c r="EU87" t="e">
        <f>AND(#REF!,"AAAAAH79/ZY=")</f>
        <v>#REF!</v>
      </c>
      <c r="EV87" t="e">
        <f>AND(#REF!,"AAAAAH79/Zc=")</f>
        <v>#REF!</v>
      </c>
      <c r="EW87" t="e">
        <f>AND(#REF!,"AAAAAH79/Zg=")</f>
        <v>#REF!</v>
      </c>
      <c r="EX87" t="e">
        <f>AND(#REF!,"AAAAAH79/Zk=")</f>
        <v>#REF!</v>
      </c>
      <c r="EY87" t="e">
        <f>AND(#REF!,"AAAAAH79/Zo=")</f>
        <v>#REF!</v>
      </c>
      <c r="EZ87" t="e">
        <f>AND(#REF!,"AAAAAH79/Zs=")</f>
        <v>#REF!</v>
      </c>
      <c r="FA87" t="e">
        <f>AND(#REF!,"AAAAAH79/Zw=")</f>
        <v>#REF!</v>
      </c>
      <c r="FB87" t="e">
        <f>AND(#REF!,"AAAAAH79/Z0=")</f>
        <v>#REF!</v>
      </c>
      <c r="FC87" t="e">
        <f>AND(#REF!,"AAAAAH79/Z4=")</f>
        <v>#REF!</v>
      </c>
      <c r="FD87" t="e">
        <f>AND(#REF!,"AAAAAH79/Z8=")</f>
        <v>#REF!</v>
      </c>
      <c r="FE87" t="e">
        <f>AND(#REF!,"AAAAAH79/aA=")</f>
        <v>#REF!</v>
      </c>
      <c r="FF87" t="e">
        <f>AND(#REF!,"AAAAAH79/aE=")</f>
        <v>#REF!</v>
      </c>
      <c r="FG87" t="e">
        <f>AND(#REF!,"AAAAAH79/aI=")</f>
        <v>#REF!</v>
      </c>
      <c r="FH87" t="e">
        <f>AND(#REF!,"AAAAAH79/aM=")</f>
        <v>#REF!</v>
      </c>
      <c r="FI87" t="e">
        <f>AND(#REF!,"AAAAAH79/aQ=")</f>
        <v>#REF!</v>
      </c>
      <c r="FJ87" t="e">
        <f>AND(#REF!,"AAAAAH79/aU=")</f>
        <v>#REF!</v>
      </c>
      <c r="FK87" t="e">
        <f>AND(#REF!,"AAAAAH79/aY=")</f>
        <v>#REF!</v>
      </c>
      <c r="FL87" t="e">
        <f>AND(#REF!,"AAAAAH79/ac=")</f>
        <v>#REF!</v>
      </c>
      <c r="FM87" t="e">
        <f>AND(#REF!,"AAAAAH79/ag=")</f>
        <v>#REF!</v>
      </c>
      <c r="FN87" t="e">
        <f>AND(#REF!,"AAAAAH79/ak=")</f>
        <v>#REF!</v>
      </c>
      <c r="FO87" t="e">
        <f>AND(#REF!,"AAAAAH79/ao=")</f>
        <v>#REF!</v>
      </c>
      <c r="FP87" t="e">
        <f>AND(#REF!,"AAAAAH79/as=")</f>
        <v>#REF!</v>
      </c>
      <c r="FQ87" t="e">
        <f>AND(#REF!,"AAAAAH79/aw=")</f>
        <v>#REF!</v>
      </c>
      <c r="FR87" t="e">
        <f>AND(#REF!,"AAAAAH79/a0=")</f>
        <v>#REF!</v>
      </c>
      <c r="FS87" t="e">
        <f>AND(#REF!,"AAAAAH79/a4=")</f>
        <v>#REF!</v>
      </c>
      <c r="FT87" t="e">
        <f>AND(#REF!,"AAAAAH79/a8=")</f>
        <v>#REF!</v>
      </c>
      <c r="FU87" t="e">
        <f>AND(#REF!,"AAAAAH79/bA=")</f>
        <v>#REF!</v>
      </c>
      <c r="FV87" t="e">
        <f>AND(#REF!,"AAAAAH79/bE=")</f>
        <v>#REF!</v>
      </c>
      <c r="FW87" t="e">
        <f>AND(#REF!,"AAAAAH79/bI=")</f>
        <v>#REF!</v>
      </c>
      <c r="FX87" t="e">
        <f>AND(#REF!,"AAAAAH79/bM=")</f>
        <v>#REF!</v>
      </c>
      <c r="FY87" t="e">
        <f>AND(#REF!,"AAAAAH79/bQ=")</f>
        <v>#REF!</v>
      </c>
      <c r="FZ87" t="e">
        <f>AND(#REF!,"AAAAAH79/bU=")</f>
        <v>#REF!</v>
      </c>
      <c r="GA87" t="e">
        <f>AND(#REF!,"AAAAAH79/bY=")</f>
        <v>#REF!</v>
      </c>
      <c r="GB87" t="e">
        <f>IF(#REF!,"AAAAAH79/bc=",0)</f>
        <v>#REF!</v>
      </c>
      <c r="GC87" t="e">
        <f>AND(#REF!,"AAAAAH79/bg=")</f>
        <v>#REF!</v>
      </c>
      <c r="GD87" t="e">
        <f>AND(#REF!,"AAAAAH79/bk=")</f>
        <v>#REF!</v>
      </c>
      <c r="GE87" t="e">
        <f>AND(#REF!,"AAAAAH79/bo=")</f>
        <v>#REF!</v>
      </c>
      <c r="GF87" t="e">
        <f>AND(#REF!,"AAAAAH79/bs=")</f>
        <v>#REF!</v>
      </c>
      <c r="GG87" t="e">
        <f>AND(#REF!,"AAAAAH79/bw=")</f>
        <v>#REF!</v>
      </c>
      <c r="GH87" t="e">
        <f>AND(#REF!,"AAAAAH79/b0=")</f>
        <v>#REF!</v>
      </c>
      <c r="GI87" t="e">
        <f>AND(#REF!,"AAAAAH79/b4=")</f>
        <v>#REF!</v>
      </c>
      <c r="GJ87" t="e">
        <f>AND(#REF!,"AAAAAH79/b8=")</f>
        <v>#REF!</v>
      </c>
      <c r="GK87" t="e">
        <f>AND(#REF!,"AAAAAH79/cA=")</f>
        <v>#REF!</v>
      </c>
      <c r="GL87" t="e">
        <f>AND(#REF!,"AAAAAH79/cE=")</f>
        <v>#REF!</v>
      </c>
      <c r="GM87" t="e">
        <f>AND(#REF!,"AAAAAH79/cI=")</f>
        <v>#REF!</v>
      </c>
      <c r="GN87" t="e">
        <f>AND(#REF!,"AAAAAH79/cM=")</f>
        <v>#REF!</v>
      </c>
      <c r="GO87" t="e">
        <f>AND(#REF!,"AAAAAH79/cQ=")</f>
        <v>#REF!</v>
      </c>
      <c r="GP87" t="e">
        <f>AND(#REF!,"AAAAAH79/cU=")</f>
        <v>#REF!</v>
      </c>
      <c r="GQ87" t="e">
        <f>AND(#REF!,"AAAAAH79/cY=")</f>
        <v>#REF!</v>
      </c>
      <c r="GR87" t="e">
        <f>AND(#REF!,"AAAAAH79/cc=")</f>
        <v>#REF!</v>
      </c>
      <c r="GS87" t="e">
        <f>AND(#REF!,"AAAAAH79/cg=")</f>
        <v>#REF!</v>
      </c>
      <c r="GT87" t="e">
        <f>AND(#REF!,"AAAAAH79/ck=")</f>
        <v>#REF!</v>
      </c>
      <c r="GU87" t="e">
        <f>AND(#REF!,"AAAAAH79/co=")</f>
        <v>#REF!</v>
      </c>
      <c r="GV87" t="e">
        <f>AND(#REF!,"AAAAAH79/cs=")</f>
        <v>#REF!</v>
      </c>
      <c r="GW87" t="e">
        <f>AND(#REF!,"AAAAAH79/cw=")</f>
        <v>#REF!</v>
      </c>
      <c r="GX87" t="e">
        <f>AND(#REF!,"AAAAAH79/c0=")</f>
        <v>#REF!</v>
      </c>
      <c r="GY87" t="e">
        <f>AND(#REF!,"AAAAAH79/c4=")</f>
        <v>#REF!</v>
      </c>
      <c r="GZ87" t="e">
        <f>AND(#REF!,"AAAAAH79/c8=")</f>
        <v>#REF!</v>
      </c>
      <c r="HA87" t="e">
        <f>AND(#REF!,"AAAAAH79/dA=")</f>
        <v>#REF!</v>
      </c>
      <c r="HB87" t="e">
        <f>AND(#REF!,"AAAAAH79/dE=")</f>
        <v>#REF!</v>
      </c>
      <c r="HC87" t="e">
        <f>AND(#REF!,"AAAAAH79/dI=")</f>
        <v>#REF!</v>
      </c>
      <c r="HD87" t="e">
        <f>AND(#REF!,"AAAAAH79/dM=")</f>
        <v>#REF!</v>
      </c>
      <c r="HE87" t="e">
        <f>AND(#REF!,"AAAAAH79/dQ=")</f>
        <v>#REF!</v>
      </c>
      <c r="HF87" t="e">
        <f>AND(#REF!,"AAAAAH79/dU=")</f>
        <v>#REF!</v>
      </c>
      <c r="HG87" t="e">
        <f>AND(#REF!,"AAAAAH79/dY=")</f>
        <v>#REF!</v>
      </c>
      <c r="HH87" t="e">
        <f>AND(#REF!,"AAAAAH79/dc=")</f>
        <v>#REF!</v>
      </c>
      <c r="HI87" t="e">
        <f>AND(#REF!,"AAAAAH79/dg=")</f>
        <v>#REF!</v>
      </c>
      <c r="HJ87" t="e">
        <f>AND(#REF!,"AAAAAH79/dk=")</f>
        <v>#REF!</v>
      </c>
      <c r="HK87" t="e">
        <f>AND(#REF!,"AAAAAH79/do=")</f>
        <v>#REF!</v>
      </c>
      <c r="HL87" t="e">
        <f>AND(#REF!,"AAAAAH79/ds=")</f>
        <v>#REF!</v>
      </c>
      <c r="HM87" t="e">
        <f>AND(#REF!,"AAAAAH79/dw=")</f>
        <v>#REF!</v>
      </c>
      <c r="HN87" t="e">
        <f>AND(#REF!,"AAAAAH79/d0=")</f>
        <v>#REF!</v>
      </c>
      <c r="HO87" t="e">
        <f>AND(#REF!,"AAAAAH79/d4=")</f>
        <v>#REF!</v>
      </c>
      <c r="HP87" t="e">
        <f>AND(#REF!,"AAAAAH79/d8=")</f>
        <v>#REF!</v>
      </c>
      <c r="HQ87" t="e">
        <f>AND(#REF!,"AAAAAH79/eA=")</f>
        <v>#REF!</v>
      </c>
      <c r="HR87" t="e">
        <f>AND(#REF!,"AAAAAH79/eE=")</f>
        <v>#REF!</v>
      </c>
      <c r="HS87" t="e">
        <f>AND(#REF!,"AAAAAH79/eI=")</f>
        <v>#REF!</v>
      </c>
      <c r="HT87" t="e">
        <f>AND(#REF!,"AAAAAH79/eM=")</f>
        <v>#REF!</v>
      </c>
      <c r="HU87" t="e">
        <f>AND(#REF!,"AAAAAH79/eQ=")</f>
        <v>#REF!</v>
      </c>
      <c r="HV87" t="e">
        <f>AND(#REF!,"AAAAAH79/eU=")</f>
        <v>#REF!</v>
      </c>
      <c r="HW87" t="e">
        <f>AND(#REF!,"AAAAAH79/eY=")</f>
        <v>#REF!</v>
      </c>
      <c r="HX87" t="e">
        <f>AND(#REF!,"AAAAAH79/ec=")</f>
        <v>#REF!</v>
      </c>
      <c r="HY87" t="e">
        <f>AND(#REF!,"AAAAAH79/eg=")</f>
        <v>#REF!</v>
      </c>
      <c r="HZ87" t="e">
        <f>AND(#REF!,"AAAAAH79/ek=")</f>
        <v>#REF!</v>
      </c>
      <c r="IA87" t="e">
        <f>AND(#REF!,"AAAAAH79/eo=")</f>
        <v>#REF!</v>
      </c>
      <c r="IB87" t="e">
        <f>AND(#REF!,"AAAAAH79/es=")</f>
        <v>#REF!</v>
      </c>
      <c r="IC87" t="e">
        <f>AND(#REF!,"AAAAAH79/ew=")</f>
        <v>#REF!</v>
      </c>
      <c r="ID87" t="e">
        <f>AND(#REF!,"AAAAAH79/e0=")</f>
        <v>#REF!</v>
      </c>
      <c r="IE87" t="e">
        <f>IF(#REF!,"AAAAAH79/e4=",0)</f>
        <v>#REF!</v>
      </c>
      <c r="IF87" t="e">
        <f>AND(#REF!,"AAAAAH79/e8=")</f>
        <v>#REF!</v>
      </c>
      <c r="IG87" t="e">
        <f>AND(#REF!,"AAAAAH79/fA=")</f>
        <v>#REF!</v>
      </c>
      <c r="IH87" t="e">
        <f>AND(#REF!,"AAAAAH79/fE=")</f>
        <v>#REF!</v>
      </c>
      <c r="II87" t="e">
        <f>AND(#REF!,"AAAAAH79/fI=")</f>
        <v>#REF!</v>
      </c>
      <c r="IJ87" t="e">
        <f>AND(#REF!,"AAAAAH79/fM=")</f>
        <v>#REF!</v>
      </c>
      <c r="IK87" t="e">
        <f>AND(#REF!,"AAAAAH79/fQ=")</f>
        <v>#REF!</v>
      </c>
      <c r="IL87" t="e">
        <f>AND(#REF!,"AAAAAH79/fU=")</f>
        <v>#REF!</v>
      </c>
      <c r="IM87" t="e">
        <f>AND(#REF!,"AAAAAH79/fY=")</f>
        <v>#REF!</v>
      </c>
      <c r="IN87" t="e">
        <f>AND(#REF!,"AAAAAH79/fc=")</f>
        <v>#REF!</v>
      </c>
      <c r="IO87" t="e">
        <f>AND(#REF!,"AAAAAH79/fg=")</f>
        <v>#REF!</v>
      </c>
      <c r="IP87" t="e">
        <f>AND(#REF!,"AAAAAH79/fk=")</f>
        <v>#REF!</v>
      </c>
      <c r="IQ87" t="e">
        <f>AND(#REF!,"AAAAAH79/fo=")</f>
        <v>#REF!</v>
      </c>
      <c r="IR87" t="e">
        <f>AND(#REF!,"AAAAAH79/fs=")</f>
        <v>#REF!</v>
      </c>
      <c r="IS87" t="e">
        <f>AND(#REF!,"AAAAAH79/fw=")</f>
        <v>#REF!</v>
      </c>
      <c r="IT87" t="e">
        <f>AND(#REF!,"AAAAAH79/f0=")</f>
        <v>#REF!</v>
      </c>
      <c r="IU87" t="e">
        <f>AND(#REF!,"AAAAAH79/f4=")</f>
        <v>#REF!</v>
      </c>
      <c r="IV87" t="e">
        <f>AND(#REF!,"AAAAAH79/f8=")</f>
        <v>#REF!</v>
      </c>
    </row>
    <row r="88" spans="1:256" x14ac:dyDescent="0.25">
      <c r="A88" t="e">
        <f>AND(#REF!,"AAAAAHt+8AA=")</f>
        <v>#REF!</v>
      </c>
      <c r="B88" t="e">
        <f>AND(#REF!,"AAAAAHt+8AE=")</f>
        <v>#REF!</v>
      </c>
      <c r="C88" t="e">
        <f>AND(#REF!,"AAAAAHt+8AI=")</f>
        <v>#REF!</v>
      </c>
      <c r="D88" t="e">
        <f>AND(#REF!,"AAAAAHt+8AM=")</f>
        <v>#REF!</v>
      </c>
      <c r="E88" t="e">
        <f>AND(#REF!,"AAAAAHt+8AQ=")</f>
        <v>#REF!</v>
      </c>
      <c r="F88" t="e">
        <f>AND(#REF!,"AAAAAHt+8AU=")</f>
        <v>#REF!</v>
      </c>
      <c r="G88" t="e">
        <f>AND(#REF!,"AAAAAHt+8AY=")</f>
        <v>#REF!</v>
      </c>
      <c r="H88" t="e">
        <f>AND(#REF!,"AAAAAHt+8Ac=")</f>
        <v>#REF!</v>
      </c>
      <c r="I88" t="e">
        <f>AND(#REF!,"AAAAAHt+8Ag=")</f>
        <v>#REF!</v>
      </c>
      <c r="J88" t="e">
        <f>AND(#REF!,"AAAAAHt+8Ak=")</f>
        <v>#REF!</v>
      </c>
      <c r="K88" t="e">
        <f>AND(#REF!,"AAAAAHt+8Ao=")</f>
        <v>#REF!</v>
      </c>
      <c r="L88" t="e">
        <f>AND(#REF!,"AAAAAHt+8As=")</f>
        <v>#REF!</v>
      </c>
      <c r="M88" t="e">
        <f>AND(#REF!,"AAAAAHt+8Aw=")</f>
        <v>#REF!</v>
      </c>
      <c r="N88" t="e">
        <f>AND(#REF!,"AAAAAHt+8A0=")</f>
        <v>#REF!</v>
      </c>
      <c r="O88" t="e">
        <f>AND(#REF!,"AAAAAHt+8A4=")</f>
        <v>#REF!</v>
      </c>
      <c r="P88" t="e">
        <f>AND(#REF!,"AAAAAHt+8A8=")</f>
        <v>#REF!</v>
      </c>
      <c r="Q88" t="e">
        <f>AND(#REF!,"AAAAAHt+8BA=")</f>
        <v>#REF!</v>
      </c>
      <c r="R88" t="e">
        <f>AND(#REF!,"AAAAAHt+8BE=")</f>
        <v>#REF!</v>
      </c>
      <c r="S88" t="e">
        <f>AND(#REF!,"AAAAAHt+8BI=")</f>
        <v>#REF!</v>
      </c>
      <c r="T88" t="e">
        <f>AND(#REF!,"AAAAAHt+8BM=")</f>
        <v>#REF!</v>
      </c>
      <c r="U88" t="e">
        <f>AND(#REF!,"AAAAAHt+8BQ=")</f>
        <v>#REF!</v>
      </c>
      <c r="V88" t="e">
        <f>AND(#REF!,"AAAAAHt+8BU=")</f>
        <v>#REF!</v>
      </c>
      <c r="W88" t="e">
        <f>AND(#REF!,"AAAAAHt+8BY=")</f>
        <v>#REF!</v>
      </c>
      <c r="X88" t="e">
        <f>AND(#REF!,"AAAAAHt+8Bc=")</f>
        <v>#REF!</v>
      </c>
      <c r="Y88" t="e">
        <f>AND(#REF!,"AAAAAHt+8Bg=")</f>
        <v>#REF!</v>
      </c>
      <c r="Z88" t="e">
        <f>AND(#REF!,"AAAAAHt+8Bk=")</f>
        <v>#REF!</v>
      </c>
      <c r="AA88" t="e">
        <f>AND(#REF!,"AAAAAHt+8Bo=")</f>
        <v>#REF!</v>
      </c>
      <c r="AB88" t="e">
        <f>AND(#REF!,"AAAAAHt+8Bs=")</f>
        <v>#REF!</v>
      </c>
      <c r="AC88" t="e">
        <f>AND(#REF!,"AAAAAHt+8Bw=")</f>
        <v>#REF!</v>
      </c>
      <c r="AD88" t="e">
        <f>AND(#REF!,"AAAAAHt+8B0=")</f>
        <v>#REF!</v>
      </c>
      <c r="AE88" t="e">
        <f>AND(#REF!,"AAAAAHt+8B4=")</f>
        <v>#REF!</v>
      </c>
      <c r="AF88" t="e">
        <f>AND(#REF!,"AAAAAHt+8B8=")</f>
        <v>#REF!</v>
      </c>
      <c r="AG88" t="e">
        <f>AND(#REF!,"AAAAAHt+8CA=")</f>
        <v>#REF!</v>
      </c>
      <c r="AH88" t="e">
        <f>AND(#REF!,"AAAAAHt+8CE=")</f>
        <v>#REF!</v>
      </c>
      <c r="AI88" t="e">
        <f>AND(#REF!,"AAAAAHt+8CI=")</f>
        <v>#REF!</v>
      </c>
      <c r="AJ88" t="e">
        <f>AND(#REF!,"AAAAAHt+8CM=")</f>
        <v>#REF!</v>
      </c>
      <c r="AK88" t="e">
        <f>AND(#REF!,"AAAAAHt+8CQ=")</f>
        <v>#REF!</v>
      </c>
      <c r="AL88" t="e">
        <f>IF(#REF!,"AAAAAHt+8CU=",0)</f>
        <v>#REF!</v>
      </c>
      <c r="AM88" t="e">
        <f>AND(#REF!,"AAAAAHt+8CY=")</f>
        <v>#REF!</v>
      </c>
      <c r="AN88" t="e">
        <f>AND(#REF!,"AAAAAHt+8Cc=")</f>
        <v>#REF!</v>
      </c>
      <c r="AO88" t="e">
        <f>AND(#REF!,"AAAAAHt+8Cg=")</f>
        <v>#REF!</v>
      </c>
      <c r="AP88" t="e">
        <f>AND(#REF!,"AAAAAHt+8Ck=")</f>
        <v>#REF!</v>
      </c>
      <c r="AQ88" t="e">
        <f>AND(#REF!,"AAAAAHt+8Co=")</f>
        <v>#REF!</v>
      </c>
      <c r="AR88" t="e">
        <f>AND(#REF!,"AAAAAHt+8Cs=")</f>
        <v>#REF!</v>
      </c>
      <c r="AS88" t="e">
        <f>AND(#REF!,"AAAAAHt+8Cw=")</f>
        <v>#REF!</v>
      </c>
      <c r="AT88" t="e">
        <f>AND(#REF!,"AAAAAHt+8C0=")</f>
        <v>#REF!</v>
      </c>
      <c r="AU88" t="e">
        <f>AND(#REF!,"AAAAAHt+8C4=")</f>
        <v>#REF!</v>
      </c>
      <c r="AV88" t="e">
        <f>AND(#REF!,"AAAAAHt+8C8=")</f>
        <v>#REF!</v>
      </c>
      <c r="AW88" t="e">
        <f>AND(#REF!,"AAAAAHt+8DA=")</f>
        <v>#REF!</v>
      </c>
      <c r="AX88" t="e">
        <f>AND(#REF!,"AAAAAHt+8DE=")</f>
        <v>#REF!</v>
      </c>
      <c r="AY88" t="e">
        <f>AND(#REF!,"AAAAAHt+8DI=")</f>
        <v>#REF!</v>
      </c>
      <c r="AZ88" t="e">
        <f>AND(#REF!,"AAAAAHt+8DM=")</f>
        <v>#REF!</v>
      </c>
      <c r="BA88" t="e">
        <f>AND(#REF!,"AAAAAHt+8DQ=")</f>
        <v>#REF!</v>
      </c>
      <c r="BB88" t="e">
        <f>AND(#REF!,"AAAAAHt+8DU=")</f>
        <v>#REF!</v>
      </c>
      <c r="BC88" t="e">
        <f>AND(#REF!,"AAAAAHt+8DY=")</f>
        <v>#REF!</v>
      </c>
      <c r="BD88" t="e">
        <f>AND(#REF!,"AAAAAHt+8Dc=")</f>
        <v>#REF!</v>
      </c>
      <c r="BE88" t="e">
        <f>AND(#REF!,"AAAAAHt+8Dg=")</f>
        <v>#REF!</v>
      </c>
      <c r="BF88" t="e">
        <f>AND(#REF!,"AAAAAHt+8Dk=")</f>
        <v>#REF!</v>
      </c>
      <c r="BG88" t="e">
        <f>AND(#REF!,"AAAAAHt+8Do=")</f>
        <v>#REF!</v>
      </c>
      <c r="BH88" t="e">
        <f>AND(#REF!,"AAAAAHt+8Ds=")</f>
        <v>#REF!</v>
      </c>
      <c r="BI88" t="e">
        <f>AND(#REF!,"AAAAAHt+8Dw=")</f>
        <v>#REF!</v>
      </c>
      <c r="BJ88" t="e">
        <f>AND(#REF!,"AAAAAHt+8D0=")</f>
        <v>#REF!</v>
      </c>
      <c r="BK88" t="e">
        <f>AND(#REF!,"AAAAAHt+8D4=")</f>
        <v>#REF!</v>
      </c>
      <c r="BL88" t="e">
        <f>AND(#REF!,"AAAAAHt+8D8=")</f>
        <v>#REF!</v>
      </c>
      <c r="BM88" t="e">
        <f>AND(#REF!,"AAAAAHt+8EA=")</f>
        <v>#REF!</v>
      </c>
      <c r="BN88" t="e">
        <f>AND(#REF!,"AAAAAHt+8EE=")</f>
        <v>#REF!</v>
      </c>
      <c r="BO88" t="e">
        <f>AND(#REF!,"AAAAAHt+8EI=")</f>
        <v>#REF!</v>
      </c>
      <c r="BP88" t="e">
        <f>AND(#REF!,"AAAAAHt+8EM=")</f>
        <v>#REF!</v>
      </c>
      <c r="BQ88" t="e">
        <f>AND(#REF!,"AAAAAHt+8EQ=")</f>
        <v>#REF!</v>
      </c>
      <c r="BR88" t="e">
        <f>AND(#REF!,"AAAAAHt+8EU=")</f>
        <v>#REF!</v>
      </c>
      <c r="BS88" t="e">
        <f>AND(#REF!,"AAAAAHt+8EY=")</f>
        <v>#REF!</v>
      </c>
      <c r="BT88" t="e">
        <f>AND(#REF!,"AAAAAHt+8Ec=")</f>
        <v>#REF!</v>
      </c>
      <c r="BU88" t="e">
        <f>AND(#REF!,"AAAAAHt+8Eg=")</f>
        <v>#REF!</v>
      </c>
      <c r="BV88" t="e">
        <f>AND(#REF!,"AAAAAHt+8Ek=")</f>
        <v>#REF!</v>
      </c>
      <c r="BW88" t="e">
        <f>AND(#REF!,"AAAAAHt+8Eo=")</f>
        <v>#REF!</v>
      </c>
      <c r="BX88" t="e">
        <f>AND(#REF!,"AAAAAHt+8Es=")</f>
        <v>#REF!</v>
      </c>
      <c r="BY88" t="e">
        <f>AND(#REF!,"AAAAAHt+8Ew=")</f>
        <v>#REF!</v>
      </c>
      <c r="BZ88" t="e">
        <f>AND(#REF!,"AAAAAHt+8E0=")</f>
        <v>#REF!</v>
      </c>
      <c r="CA88" t="e">
        <f>AND(#REF!,"AAAAAHt+8E4=")</f>
        <v>#REF!</v>
      </c>
      <c r="CB88" t="e">
        <f>AND(#REF!,"AAAAAHt+8E8=")</f>
        <v>#REF!</v>
      </c>
      <c r="CC88" t="e">
        <f>AND(#REF!,"AAAAAHt+8FA=")</f>
        <v>#REF!</v>
      </c>
      <c r="CD88" t="e">
        <f>AND(#REF!,"AAAAAHt+8FE=")</f>
        <v>#REF!</v>
      </c>
      <c r="CE88" t="e">
        <f>AND(#REF!,"AAAAAHt+8FI=")</f>
        <v>#REF!</v>
      </c>
      <c r="CF88" t="e">
        <f>AND(#REF!,"AAAAAHt+8FM=")</f>
        <v>#REF!</v>
      </c>
      <c r="CG88" t="e">
        <f>AND(#REF!,"AAAAAHt+8FQ=")</f>
        <v>#REF!</v>
      </c>
      <c r="CH88" t="e">
        <f>AND(#REF!,"AAAAAHt+8FU=")</f>
        <v>#REF!</v>
      </c>
      <c r="CI88" t="e">
        <f>AND(#REF!,"AAAAAHt+8FY=")</f>
        <v>#REF!</v>
      </c>
      <c r="CJ88" t="e">
        <f>AND(#REF!,"AAAAAHt+8Fc=")</f>
        <v>#REF!</v>
      </c>
      <c r="CK88" t="e">
        <f>AND(#REF!,"AAAAAHt+8Fg=")</f>
        <v>#REF!</v>
      </c>
      <c r="CL88" t="e">
        <f>AND(#REF!,"AAAAAHt+8Fk=")</f>
        <v>#REF!</v>
      </c>
      <c r="CM88" t="e">
        <f>AND(#REF!,"AAAAAHt+8Fo=")</f>
        <v>#REF!</v>
      </c>
      <c r="CN88" t="e">
        <f>AND(#REF!,"AAAAAHt+8Fs=")</f>
        <v>#REF!</v>
      </c>
      <c r="CO88" t="e">
        <f>IF(#REF!,"AAAAAHt+8Fw=",0)</f>
        <v>#REF!</v>
      </c>
      <c r="CP88" t="e">
        <f>AND(#REF!,"AAAAAHt+8F0=")</f>
        <v>#REF!</v>
      </c>
      <c r="CQ88" t="e">
        <f>AND(#REF!,"AAAAAHt+8F4=")</f>
        <v>#REF!</v>
      </c>
      <c r="CR88" t="e">
        <f>AND(#REF!,"AAAAAHt+8F8=")</f>
        <v>#REF!</v>
      </c>
      <c r="CS88" t="e">
        <f>AND(#REF!,"AAAAAHt+8GA=")</f>
        <v>#REF!</v>
      </c>
      <c r="CT88" t="e">
        <f>AND(#REF!,"AAAAAHt+8GE=")</f>
        <v>#REF!</v>
      </c>
      <c r="CU88" t="e">
        <f>AND(#REF!,"AAAAAHt+8GI=")</f>
        <v>#REF!</v>
      </c>
      <c r="CV88" t="e">
        <f>AND(#REF!,"AAAAAHt+8GM=")</f>
        <v>#REF!</v>
      </c>
      <c r="CW88" t="e">
        <f>AND(#REF!,"AAAAAHt+8GQ=")</f>
        <v>#REF!</v>
      </c>
      <c r="CX88" t="e">
        <f>AND(#REF!,"AAAAAHt+8GU=")</f>
        <v>#REF!</v>
      </c>
      <c r="CY88" t="e">
        <f>AND(#REF!,"AAAAAHt+8GY=")</f>
        <v>#REF!</v>
      </c>
      <c r="CZ88" t="e">
        <f>AND(#REF!,"AAAAAHt+8Gc=")</f>
        <v>#REF!</v>
      </c>
      <c r="DA88" t="e">
        <f>AND(#REF!,"AAAAAHt+8Gg=")</f>
        <v>#REF!</v>
      </c>
      <c r="DB88" t="e">
        <f>AND(#REF!,"AAAAAHt+8Gk=")</f>
        <v>#REF!</v>
      </c>
      <c r="DC88" t="e">
        <f>AND(#REF!,"AAAAAHt+8Go=")</f>
        <v>#REF!</v>
      </c>
      <c r="DD88" t="e">
        <f>AND(#REF!,"AAAAAHt+8Gs=")</f>
        <v>#REF!</v>
      </c>
      <c r="DE88" t="e">
        <f>AND(#REF!,"AAAAAHt+8Gw=")</f>
        <v>#REF!</v>
      </c>
      <c r="DF88" t="e">
        <f>AND(#REF!,"AAAAAHt+8G0=")</f>
        <v>#REF!</v>
      </c>
      <c r="DG88" t="e">
        <f>AND(#REF!,"AAAAAHt+8G4=")</f>
        <v>#REF!</v>
      </c>
      <c r="DH88" t="e">
        <f>AND(#REF!,"AAAAAHt+8G8=")</f>
        <v>#REF!</v>
      </c>
      <c r="DI88" t="e">
        <f>AND(#REF!,"AAAAAHt+8HA=")</f>
        <v>#REF!</v>
      </c>
      <c r="DJ88" t="e">
        <f>AND(#REF!,"AAAAAHt+8HE=")</f>
        <v>#REF!</v>
      </c>
      <c r="DK88" t="e">
        <f>AND(#REF!,"AAAAAHt+8HI=")</f>
        <v>#REF!</v>
      </c>
      <c r="DL88" t="e">
        <f>AND(#REF!,"AAAAAHt+8HM=")</f>
        <v>#REF!</v>
      </c>
      <c r="DM88" t="e">
        <f>AND(#REF!,"AAAAAHt+8HQ=")</f>
        <v>#REF!</v>
      </c>
      <c r="DN88" t="e">
        <f>AND(#REF!,"AAAAAHt+8HU=")</f>
        <v>#REF!</v>
      </c>
      <c r="DO88" t="e">
        <f>AND(#REF!,"AAAAAHt+8HY=")</f>
        <v>#REF!</v>
      </c>
      <c r="DP88" t="e">
        <f>AND(#REF!,"AAAAAHt+8Hc=")</f>
        <v>#REF!</v>
      </c>
      <c r="DQ88" t="e">
        <f>AND(#REF!,"AAAAAHt+8Hg=")</f>
        <v>#REF!</v>
      </c>
      <c r="DR88" t="e">
        <f>AND(#REF!,"AAAAAHt+8Hk=")</f>
        <v>#REF!</v>
      </c>
      <c r="DS88" t="e">
        <f>AND(#REF!,"AAAAAHt+8Ho=")</f>
        <v>#REF!</v>
      </c>
      <c r="DT88" t="e">
        <f>AND(#REF!,"AAAAAHt+8Hs=")</f>
        <v>#REF!</v>
      </c>
      <c r="DU88" t="e">
        <f>AND(#REF!,"AAAAAHt+8Hw=")</f>
        <v>#REF!</v>
      </c>
      <c r="DV88" t="e">
        <f>AND(#REF!,"AAAAAHt+8H0=")</f>
        <v>#REF!</v>
      </c>
      <c r="DW88" t="e">
        <f>AND(#REF!,"AAAAAHt+8H4=")</f>
        <v>#REF!</v>
      </c>
      <c r="DX88" t="e">
        <f>AND(#REF!,"AAAAAHt+8H8=")</f>
        <v>#REF!</v>
      </c>
      <c r="DY88" t="e">
        <f>AND(#REF!,"AAAAAHt+8IA=")</f>
        <v>#REF!</v>
      </c>
      <c r="DZ88" t="e">
        <f>AND(#REF!,"AAAAAHt+8IE=")</f>
        <v>#REF!</v>
      </c>
      <c r="EA88" t="e">
        <f>AND(#REF!,"AAAAAHt+8II=")</f>
        <v>#REF!</v>
      </c>
      <c r="EB88" t="e">
        <f>AND(#REF!,"AAAAAHt+8IM=")</f>
        <v>#REF!</v>
      </c>
      <c r="EC88" t="e">
        <f>AND(#REF!,"AAAAAHt+8IQ=")</f>
        <v>#REF!</v>
      </c>
      <c r="ED88" t="e">
        <f>AND(#REF!,"AAAAAHt+8IU=")</f>
        <v>#REF!</v>
      </c>
      <c r="EE88" t="e">
        <f>AND(#REF!,"AAAAAHt+8IY=")</f>
        <v>#REF!</v>
      </c>
      <c r="EF88" t="e">
        <f>AND(#REF!,"AAAAAHt+8Ic=")</f>
        <v>#REF!</v>
      </c>
      <c r="EG88" t="e">
        <f>AND(#REF!,"AAAAAHt+8Ig=")</f>
        <v>#REF!</v>
      </c>
      <c r="EH88" t="e">
        <f>AND(#REF!,"AAAAAHt+8Ik=")</f>
        <v>#REF!</v>
      </c>
      <c r="EI88" t="e">
        <f>AND(#REF!,"AAAAAHt+8Io=")</f>
        <v>#REF!</v>
      </c>
      <c r="EJ88" t="e">
        <f>AND(#REF!,"AAAAAHt+8Is=")</f>
        <v>#REF!</v>
      </c>
      <c r="EK88" t="e">
        <f>AND(#REF!,"AAAAAHt+8Iw=")</f>
        <v>#REF!</v>
      </c>
      <c r="EL88" t="e">
        <f>AND(#REF!,"AAAAAHt+8I0=")</f>
        <v>#REF!</v>
      </c>
      <c r="EM88" t="e">
        <f>AND(#REF!,"AAAAAHt+8I4=")</f>
        <v>#REF!</v>
      </c>
      <c r="EN88" t="e">
        <f>AND(#REF!,"AAAAAHt+8I8=")</f>
        <v>#REF!</v>
      </c>
      <c r="EO88" t="e">
        <f>AND(#REF!,"AAAAAHt+8JA=")</f>
        <v>#REF!</v>
      </c>
      <c r="EP88" t="e">
        <f>AND(#REF!,"AAAAAHt+8JE=")</f>
        <v>#REF!</v>
      </c>
      <c r="EQ88" t="e">
        <f>AND(#REF!,"AAAAAHt+8JI=")</f>
        <v>#REF!</v>
      </c>
      <c r="ER88" t="e">
        <f>IF(#REF!,"AAAAAHt+8JM=",0)</f>
        <v>#REF!</v>
      </c>
      <c r="ES88" t="e">
        <f>AND(#REF!,"AAAAAHt+8JQ=")</f>
        <v>#REF!</v>
      </c>
      <c r="ET88" t="e">
        <f>AND(#REF!,"AAAAAHt+8JU=")</f>
        <v>#REF!</v>
      </c>
      <c r="EU88" t="e">
        <f>AND(#REF!,"AAAAAHt+8JY=")</f>
        <v>#REF!</v>
      </c>
      <c r="EV88" t="e">
        <f>AND(#REF!,"AAAAAHt+8Jc=")</f>
        <v>#REF!</v>
      </c>
      <c r="EW88" t="e">
        <f>AND(#REF!,"AAAAAHt+8Jg=")</f>
        <v>#REF!</v>
      </c>
      <c r="EX88" t="e">
        <f>AND(#REF!,"AAAAAHt+8Jk=")</f>
        <v>#REF!</v>
      </c>
      <c r="EY88" t="e">
        <f>AND(#REF!,"AAAAAHt+8Jo=")</f>
        <v>#REF!</v>
      </c>
      <c r="EZ88" t="e">
        <f>AND(#REF!,"AAAAAHt+8Js=")</f>
        <v>#REF!</v>
      </c>
      <c r="FA88" t="e">
        <f>AND(#REF!,"AAAAAHt+8Jw=")</f>
        <v>#REF!</v>
      </c>
      <c r="FB88" t="e">
        <f>AND(#REF!,"AAAAAHt+8J0=")</f>
        <v>#REF!</v>
      </c>
      <c r="FC88" t="e">
        <f>AND(#REF!,"AAAAAHt+8J4=")</f>
        <v>#REF!</v>
      </c>
      <c r="FD88" t="e">
        <f>AND(#REF!,"AAAAAHt+8J8=")</f>
        <v>#REF!</v>
      </c>
      <c r="FE88" t="e">
        <f>AND(#REF!,"AAAAAHt+8KA=")</f>
        <v>#REF!</v>
      </c>
      <c r="FF88" t="e">
        <f>AND(#REF!,"AAAAAHt+8KE=")</f>
        <v>#REF!</v>
      </c>
      <c r="FG88" t="e">
        <f>AND(#REF!,"AAAAAHt+8KI=")</f>
        <v>#REF!</v>
      </c>
      <c r="FH88" t="e">
        <f>AND(#REF!,"AAAAAHt+8KM=")</f>
        <v>#REF!</v>
      </c>
      <c r="FI88" t="e">
        <f>AND(#REF!,"AAAAAHt+8KQ=")</f>
        <v>#REF!</v>
      </c>
      <c r="FJ88" t="e">
        <f>AND(#REF!,"AAAAAHt+8KU=")</f>
        <v>#REF!</v>
      </c>
      <c r="FK88" t="e">
        <f>AND(#REF!,"AAAAAHt+8KY=")</f>
        <v>#REF!</v>
      </c>
      <c r="FL88" t="e">
        <f>AND(#REF!,"AAAAAHt+8Kc=")</f>
        <v>#REF!</v>
      </c>
      <c r="FM88" t="e">
        <f>AND(#REF!,"AAAAAHt+8Kg=")</f>
        <v>#REF!</v>
      </c>
      <c r="FN88" t="e">
        <f>AND(#REF!,"AAAAAHt+8Kk=")</f>
        <v>#REF!</v>
      </c>
      <c r="FO88" t="e">
        <f>AND(#REF!,"AAAAAHt+8Ko=")</f>
        <v>#REF!</v>
      </c>
      <c r="FP88" t="e">
        <f>AND(#REF!,"AAAAAHt+8Ks=")</f>
        <v>#REF!</v>
      </c>
      <c r="FQ88" t="e">
        <f>AND(#REF!,"AAAAAHt+8Kw=")</f>
        <v>#REF!</v>
      </c>
      <c r="FR88" t="e">
        <f>AND(#REF!,"AAAAAHt+8K0=")</f>
        <v>#REF!</v>
      </c>
      <c r="FS88" t="e">
        <f>AND(#REF!,"AAAAAHt+8K4=")</f>
        <v>#REF!</v>
      </c>
      <c r="FT88" t="e">
        <f>AND(#REF!,"AAAAAHt+8K8=")</f>
        <v>#REF!</v>
      </c>
      <c r="FU88" t="e">
        <f>AND(#REF!,"AAAAAHt+8LA=")</f>
        <v>#REF!</v>
      </c>
      <c r="FV88" t="e">
        <f>AND(#REF!,"AAAAAHt+8LE=")</f>
        <v>#REF!</v>
      </c>
      <c r="FW88" t="e">
        <f>AND(#REF!,"AAAAAHt+8LI=")</f>
        <v>#REF!</v>
      </c>
      <c r="FX88" t="e">
        <f>AND(#REF!,"AAAAAHt+8LM=")</f>
        <v>#REF!</v>
      </c>
      <c r="FY88" t="e">
        <f>AND(#REF!,"AAAAAHt+8LQ=")</f>
        <v>#REF!</v>
      </c>
      <c r="FZ88" t="e">
        <f>AND(#REF!,"AAAAAHt+8LU=")</f>
        <v>#REF!</v>
      </c>
      <c r="GA88" t="e">
        <f>AND(#REF!,"AAAAAHt+8LY=")</f>
        <v>#REF!</v>
      </c>
      <c r="GB88" t="e">
        <f>AND(#REF!,"AAAAAHt+8Lc=")</f>
        <v>#REF!</v>
      </c>
      <c r="GC88" t="e">
        <f>AND(#REF!,"AAAAAHt+8Lg=")</f>
        <v>#REF!</v>
      </c>
      <c r="GD88" t="e">
        <f>AND(#REF!,"AAAAAHt+8Lk=")</f>
        <v>#REF!</v>
      </c>
      <c r="GE88" t="e">
        <f>AND(#REF!,"AAAAAHt+8Lo=")</f>
        <v>#REF!</v>
      </c>
      <c r="GF88" t="e">
        <f>AND(#REF!,"AAAAAHt+8Ls=")</f>
        <v>#REF!</v>
      </c>
      <c r="GG88" t="e">
        <f>AND(#REF!,"AAAAAHt+8Lw=")</f>
        <v>#REF!</v>
      </c>
      <c r="GH88" t="e">
        <f>AND(#REF!,"AAAAAHt+8L0=")</f>
        <v>#REF!</v>
      </c>
      <c r="GI88" t="e">
        <f>AND(#REF!,"AAAAAHt+8L4=")</f>
        <v>#REF!</v>
      </c>
      <c r="GJ88" t="e">
        <f>AND(#REF!,"AAAAAHt+8L8=")</f>
        <v>#REF!</v>
      </c>
      <c r="GK88" t="e">
        <f>AND(#REF!,"AAAAAHt+8MA=")</f>
        <v>#REF!</v>
      </c>
      <c r="GL88" t="e">
        <f>AND(#REF!,"AAAAAHt+8ME=")</f>
        <v>#REF!</v>
      </c>
      <c r="GM88" t="e">
        <f>AND(#REF!,"AAAAAHt+8MI=")</f>
        <v>#REF!</v>
      </c>
      <c r="GN88" t="e">
        <f>AND(#REF!,"AAAAAHt+8MM=")</f>
        <v>#REF!</v>
      </c>
      <c r="GO88" t="e">
        <f>AND(#REF!,"AAAAAHt+8MQ=")</f>
        <v>#REF!</v>
      </c>
      <c r="GP88" t="e">
        <f>AND(#REF!,"AAAAAHt+8MU=")</f>
        <v>#REF!</v>
      </c>
      <c r="GQ88" t="e">
        <f>AND(#REF!,"AAAAAHt+8MY=")</f>
        <v>#REF!</v>
      </c>
      <c r="GR88" t="e">
        <f>AND(#REF!,"AAAAAHt+8Mc=")</f>
        <v>#REF!</v>
      </c>
      <c r="GS88" t="e">
        <f>AND(#REF!,"AAAAAHt+8Mg=")</f>
        <v>#REF!</v>
      </c>
      <c r="GT88" t="e">
        <f>AND(#REF!,"AAAAAHt+8Mk=")</f>
        <v>#REF!</v>
      </c>
      <c r="GU88" t="e">
        <f>IF(#REF!,"AAAAAHt+8Mo=",0)</f>
        <v>#REF!</v>
      </c>
      <c r="GV88" t="e">
        <f>AND(#REF!,"AAAAAHt+8Ms=")</f>
        <v>#REF!</v>
      </c>
      <c r="GW88" t="e">
        <f>AND(#REF!,"AAAAAHt+8Mw=")</f>
        <v>#REF!</v>
      </c>
      <c r="GX88" t="e">
        <f>AND(#REF!,"AAAAAHt+8M0=")</f>
        <v>#REF!</v>
      </c>
      <c r="GY88" t="e">
        <f>AND(#REF!,"AAAAAHt+8M4=")</f>
        <v>#REF!</v>
      </c>
      <c r="GZ88" t="e">
        <f>AND(#REF!,"AAAAAHt+8M8=")</f>
        <v>#REF!</v>
      </c>
      <c r="HA88" t="e">
        <f>AND(#REF!,"AAAAAHt+8NA=")</f>
        <v>#REF!</v>
      </c>
      <c r="HB88" t="e">
        <f>AND(#REF!,"AAAAAHt+8NE=")</f>
        <v>#REF!</v>
      </c>
      <c r="HC88" t="e">
        <f>AND(#REF!,"AAAAAHt+8NI=")</f>
        <v>#REF!</v>
      </c>
      <c r="HD88" t="e">
        <f>AND(#REF!,"AAAAAHt+8NM=")</f>
        <v>#REF!</v>
      </c>
      <c r="HE88" t="e">
        <f>AND(#REF!,"AAAAAHt+8NQ=")</f>
        <v>#REF!</v>
      </c>
      <c r="HF88" t="e">
        <f>AND(#REF!,"AAAAAHt+8NU=")</f>
        <v>#REF!</v>
      </c>
      <c r="HG88" t="e">
        <f>AND(#REF!,"AAAAAHt+8NY=")</f>
        <v>#REF!</v>
      </c>
      <c r="HH88" t="e">
        <f>AND(#REF!,"AAAAAHt+8Nc=")</f>
        <v>#REF!</v>
      </c>
      <c r="HI88" t="e">
        <f>AND(#REF!,"AAAAAHt+8Ng=")</f>
        <v>#REF!</v>
      </c>
      <c r="HJ88" t="e">
        <f>AND(#REF!,"AAAAAHt+8Nk=")</f>
        <v>#REF!</v>
      </c>
      <c r="HK88" t="e">
        <f>AND(#REF!,"AAAAAHt+8No=")</f>
        <v>#REF!</v>
      </c>
      <c r="HL88" t="e">
        <f>AND(#REF!,"AAAAAHt+8Ns=")</f>
        <v>#REF!</v>
      </c>
      <c r="HM88" t="e">
        <f>AND(#REF!,"AAAAAHt+8Nw=")</f>
        <v>#REF!</v>
      </c>
      <c r="HN88" t="e">
        <f>AND(#REF!,"AAAAAHt+8N0=")</f>
        <v>#REF!</v>
      </c>
      <c r="HO88" t="e">
        <f>AND(#REF!,"AAAAAHt+8N4=")</f>
        <v>#REF!</v>
      </c>
      <c r="HP88" t="e">
        <f>AND(#REF!,"AAAAAHt+8N8=")</f>
        <v>#REF!</v>
      </c>
      <c r="HQ88" t="e">
        <f>AND(#REF!,"AAAAAHt+8OA=")</f>
        <v>#REF!</v>
      </c>
      <c r="HR88" t="e">
        <f>AND(#REF!,"AAAAAHt+8OE=")</f>
        <v>#REF!</v>
      </c>
      <c r="HS88" t="e">
        <f>AND(#REF!,"AAAAAHt+8OI=")</f>
        <v>#REF!</v>
      </c>
      <c r="HT88" t="e">
        <f>AND(#REF!,"AAAAAHt+8OM=")</f>
        <v>#REF!</v>
      </c>
      <c r="HU88" t="e">
        <f>AND(#REF!,"AAAAAHt+8OQ=")</f>
        <v>#REF!</v>
      </c>
      <c r="HV88" t="e">
        <f>AND(#REF!,"AAAAAHt+8OU=")</f>
        <v>#REF!</v>
      </c>
      <c r="HW88" t="e">
        <f>AND(#REF!,"AAAAAHt+8OY=")</f>
        <v>#REF!</v>
      </c>
      <c r="HX88" t="e">
        <f>AND(#REF!,"AAAAAHt+8Oc=")</f>
        <v>#REF!</v>
      </c>
      <c r="HY88" t="e">
        <f>AND(#REF!,"AAAAAHt+8Og=")</f>
        <v>#REF!</v>
      </c>
      <c r="HZ88" t="e">
        <f>AND(#REF!,"AAAAAHt+8Ok=")</f>
        <v>#REF!</v>
      </c>
      <c r="IA88" t="e">
        <f>AND(#REF!,"AAAAAHt+8Oo=")</f>
        <v>#REF!</v>
      </c>
      <c r="IB88" t="e">
        <f>AND(#REF!,"AAAAAHt+8Os=")</f>
        <v>#REF!</v>
      </c>
      <c r="IC88" t="e">
        <f>AND(#REF!,"AAAAAHt+8Ow=")</f>
        <v>#REF!</v>
      </c>
      <c r="ID88" t="e">
        <f>AND(#REF!,"AAAAAHt+8O0=")</f>
        <v>#REF!</v>
      </c>
      <c r="IE88" t="e">
        <f>AND(#REF!,"AAAAAHt+8O4=")</f>
        <v>#REF!</v>
      </c>
      <c r="IF88" t="e">
        <f>AND(#REF!,"AAAAAHt+8O8=")</f>
        <v>#REF!</v>
      </c>
      <c r="IG88" t="e">
        <f>AND(#REF!,"AAAAAHt+8PA=")</f>
        <v>#REF!</v>
      </c>
      <c r="IH88" t="e">
        <f>AND(#REF!,"AAAAAHt+8PE=")</f>
        <v>#REF!</v>
      </c>
      <c r="II88" t="e">
        <f>AND(#REF!,"AAAAAHt+8PI=")</f>
        <v>#REF!</v>
      </c>
      <c r="IJ88" t="e">
        <f>AND(#REF!,"AAAAAHt+8PM=")</f>
        <v>#REF!</v>
      </c>
      <c r="IK88" t="e">
        <f>AND(#REF!,"AAAAAHt+8PQ=")</f>
        <v>#REF!</v>
      </c>
      <c r="IL88" t="e">
        <f>AND(#REF!,"AAAAAHt+8PU=")</f>
        <v>#REF!</v>
      </c>
      <c r="IM88" t="e">
        <f>AND(#REF!,"AAAAAHt+8PY=")</f>
        <v>#REF!</v>
      </c>
      <c r="IN88" t="e">
        <f>AND(#REF!,"AAAAAHt+8Pc=")</f>
        <v>#REF!</v>
      </c>
      <c r="IO88" t="e">
        <f>AND(#REF!,"AAAAAHt+8Pg=")</f>
        <v>#REF!</v>
      </c>
      <c r="IP88" t="e">
        <f>AND(#REF!,"AAAAAHt+8Pk=")</f>
        <v>#REF!</v>
      </c>
      <c r="IQ88" t="e">
        <f>AND(#REF!,"AAAAAHt+8Po=")</f>
        <v>#REF!</v>
      </c>
      <c r="IR88" t="e">
        <f>AND(#REF!,"AAAAAHt+8Ps=")</f>
        <v>#REF!</v>
      </c>
      <c r="IS88" t="e">
        <f>AND(#REF!,"AAAAAHt+8Pw=")</f>
        <v>#REF!</v>
      </c>
      <c r="IT88" t="e">
        <f>AND(#REF!,"AAAAAHt+8P0=")</f>
        <v>#REF!</v>
      </c>
      <c r="IU88" t="e">
        <f>AND(#REF!,"AAAAAHt+8P4=")</f>
        <v>#REF!</v>
      </c>
      <c r="IV88" t="e">
        <f>AND(#REF!,"AAAAAHt+8P8=")</f>
        <v>#REF!</v>
      </c>
    </row>
    <row r="89" spans="1:256" x14ac:dyDescent="0.25">
      <c r="A89" t="e">
        <f>AND(#REF!,"AAAAAH9+/wA=")</f>
        <v>#REF!</v>
      </c>
      <c r="B89" t="e">
        <f>IF(#REF!,"AAAAAH9+/wE=",0)</f>
        <v>#REF!</v>
      </c>
      <c r="C89" t="e">
        <f>AND(#REF!,"AAAAAH9+/wI=")</f>
        <v>#REF!</v>
      </c>
      <c r="D89" t="e">
        <f>AND(#REF!,"AAAAAH9+/wM=")</f>
        <v>#REF!</v>
      </c>
      <c r="E89" t="e">
        <f>AND(#REF!,"AAAAAH9+/wQ=")</f>
        <v>#REF!</v>
      </c>
      <c r="F89" t="e">
        <f>AND(#REF!,"AAAAAH9+/wU=")</f>
        <v>#REF!</v>
      </c>
      <c r="G89" t="e">
        <f>AND(#REF!,"AAAAAH9+/wY=")</f>
        <v>#REF!</v>
      </c>
      <c r="H89" t="e">
        <f>AND(#REF!,"AAAAAH9+/wc=")</f>
        <v>#REF!</v>
      </c>
      <c r="I89" t="e">
        <f>AND(#REF!,"AAAAAH9+/wg=")</f>
        <v>#REF!</v>
      </c>
      <c r="J89" t="e">
        <f>AND(#REF!,"AAAAAH9+/wk=")</f>
        <v>#REF!</v>
      </c>
      <c r="K89" t="e">
        <f>AND(#REF!,"AAAAAH9+/wo=")</f>
        <v>#REF!</v>
      </c>
      <c r="L89" t="e">
        <f>AND(#REF!,"AAAAAH9+/ws=")</f>
        <v>#REF!</v>
      </c>
      <c r="M89" t="e">
        <f>AND(#REF!,"AAAAAH9+/ww=")</f>
        <v>#REF!</v>
      </c>
      <c r="N89" t="e">
        <f>AND(#REF!,"AAAAAH9+/w0=")</f>
        <v>#REF!</v>
      </c>
      <c r="O89" t="e">
        <f>AND(#REF!,"AAAAAH9+/w4=")</f>
        <v>#REF!</v>
      </c>
      <c r="P89" t="e">
        <f>AND(#REF!,"AAAAAH9+/w8=")</f>
        <v>#REF!</v>
      </c>
      <c r="Q89" t="e">
        <f>AND(#REF!,"AAAAAH9+/xA=")</f>
        <v>#REF!</v>
      </c>
      <c r="R89" t="e">
        <f>AND(#REF!,"AAAAAH9+/xE=")</f>
        <v>#REF!</v>
      </c>
      <c r="S89" t="e">
        <f>AND(#REF!,"AAAAAH9+/xI=")</f>
        <v>#REF!</v>
      </c>
      <c r="T89" t="e">
        <f>AND(#REF!,"AAAAAH9+/xM=")</f>
        <v>#REF!</v>
      </c>
      <c r="U89" t="e">
        <f>AND(#REF!,"AAAAAH9+/xQ=")</f>
        <v>#REF!</v>
      </c>
      <c r="V89" t="e">
        <f>AND(#REF!,"AAAAAH9+/xU=")</f>
        <v>#REF!</v>
      </c>
      <c r="W89" t="e">
        <f>AND(#REF!,"AAAAAH9+/xY=")</f>
        <v>#REF!</v>
      </c>
      <c r="X89" t="e">
        <f>AND(#REF!,"AAAAAH9+/xc=")</f>
        <v>#REF!</v>
      </c>
      <c r="Y89" t="e">
        <f>AND(#REF!,"AAAAAH9+/xg=")</f>
        <v>#REF!</v>
      </c>
      <c r="Z89" t="e">
        <f>AND(#REF!,"AAAAAH9+/xk=")</f>
        <v>#REF!</v>
      </c>
      <c r="AA89" t="e">
        <f>AND(#REF!,"AAAAAH9+/xo=")</f>
        <v>#REF!</v>
      </c>
      <c r="AB89" t="e">
        <f>AND(#REF!,"AAAAAH9+/xs=")</f>
        <v>#REF!</v>
      </c>
      <c r="AC89" t="e">
        <f>AND(#REF!,"AAAAAH9+/xw=")</f>
        <v>#REF!</v>
      </c>
      <c r="AD89" t="e">
        <f>AND(#REF!,"AAAAAH9+/x0=")</f>
        <v>#REF!</v>
      </c>
      <c r="AE89" t="e">
        <f>AND(#REF!,"AAAAAH9+/x4=")</f>
        <v>#REF!</v>
      </c>
      <c r="AF89" t="e">
        <f>AND(#REF!,"AAAAAH9+/x8=")</f>
        <v>#REF!</v>
      </c>
      <c r="AG89" t="e">
        <f>AND(#REF!,"AAAAAH9+/yA=")</f>
        <v>#REF!</v>
      </c>
      <c r="AH89" t="e">
        <f>AND(#REF!,"AAAAAH9+/yE=")</f>
        <v>#REF!</v>
      </c>
      <c r="AI89" t="e">
        <f>AND(#REF!,"AAAAAH9+/yI=")</f>
        <v>#REF!</v>
      </c>
      <c r="AJ89" t="e">
        <f>AND(#REF!,"AAAAAH9+/yM=")</f>
        <v>#REF!</v>
      </c>
      <c r="AK89" t="e">
        <f>AND(#REF!,"AAAAAH9+/yQ=")</f>
        <v>#REF!</v>
      </c>
      <c r="AL89" t="e">
        <f>AND(#REF!,"AAAAAH9+/yU=")</f>
        <v>#REF!</v>
      </c>
      <c r="AM89" t="e">
        <f>AND(#REF!,"AAAAAH9+/yY=")</f>
        <v>#REF!</v>
      </c>
      <c r="AN89" t="e">
        <f>AND(#REF!,"AAAAAH9+/yc=")</f>
        <v>#REF!</v>
      </c>
      <c r="AO89" t="e">
        <f>AND(#REF!,"AAAAAH9+/yg=")</f>
        <v>#REF!</v>
      </c>
      <c r="AP89" t="e">
        <f>AND(#REF!,"AAAAAH9+/yk=")</f>
        <v>#REF!</v>
      </c>
      <c r="AQ89" t="e">
        <f>AND(#REF!,"AAAAAH9+/yo=")</f>
        <v>#REF!</v>
      </c>
      <c r="AR89" t="e">
        <f>AND(#REF!,"AAAAAH9+/ys=")</f>
        <v>#REF!</v>
      </c>
      <c r="AS89" t="e">
        <f>AND(#REF!,"AAAAAH9+/yw=")</f>
        <v>#REF!</v>
      </c>
      <c r="AT89" t="e">
        <f>AND(#REF!,"AAAAAH9+/y0=")</f>
        <v>#REF!</v>
      </c>
      <c r="AU89" t="e">
        <f>AND(#REF!,"AAAAAH9+/y4=")</f>
        <v>#REF!</v>
      </c>
      <c r="AV89" t="e">
        <f>AND(#REF!,"AAAAAH9+/y8=")</f>
        <v>#REF!</v>
      </c>
      <c r="AW89" t="e">
        <f>AND(#REF!,"AAAAAH9+/zA=")</f>
        <v>#REF!</v>
      </c>
      <c r="AX89" t="e">
        <f>AND(#REF!,"AAAAAH9+/zE=")</f>
        <v>#REF!</v>
      </c>
      <c r="AY89" t="e">
        <f>AND(#REF!,"AAAAAH9+/zI=")</f>
        <v>#REF!</v>
      </c>
      <c r="AZ89" t="e">
        <f>AND(#REF!,"AAAAAH9+/zM=")</f>
        <v>#REF!</v>
      </c>
      <c r="BA89" t="e">
        <f>AND(#REF!,"AAAAAH9+/zQ=")</f>
        <v>#REF!</v>
      </c>
      <c r="BB89" t="e">
        <f>AND(#REF!,"AAAAAH9+/zU=")</f>
        <v>#REF!</v>
      </c>
      <c r="BC89" t="e">
        <f>AND(#REF!,"AAAAAH9+/zY=")</f>
        <v>#REF!</v>
      </c>
      <c r="BD89" t="e">
        <f>AND(#REF!,"AAAAAH9+/zc=")</f>
        <v>#REF!</v>
      </c>
      <c r="BE89" t="e">
        <f>IF(#REF!,"AAAAAH9+/zg=",0)</f>
        <v>#REF!</v>
      </c>
      <c r="BF89" t="e">
        <f>AND(#REF!,"AAAAAH9+/zk=")</f>
        <v>#REF!</v>
      </c>
      <c r="BG89" t="e">
        <f>AND(#REF!,"AAAAAH9+/zo=")</f>
        <v>#REF!</v>
      </c>
      <c r="BH89" t="e">
        <f>AND(#REF!,"AAAAAH9+/zs=")</f>
        <v>#REF!</v>
      </c>
      <c r="BI89" t="e">
        <f>AND(#REF!,"AAAAAH9+/zw=")</f>
        <v>#REF!</v>
      </c>
      <c r="BJ89" t="e">
        <f>AND(#REF!,"AAAAAH9+/z0=")</f>
        <v>#REF!</v>
      </c>
      <c r="BK89" t="e">
        <f>AND(#REF!,"AAAAAH9+/z4=")</f>
        <v>#REF!</v>
      </c>
      <c r="BL89" t="e">
        <f>AND(#REF!,"AAAAAH9+/z8=")</f>
        <v>#REF!</v>
      </c>
      <c r="BM89" t="e">
        <f>AND(#REF!,"AAAAAH9+/0A=")</f>
        <v>#REF!</v>
      </c>
      <c r="BN89" t="e">
        <f>AND(#REF!,"AAAAAH9+/0E=")</f>
        <v>#REF!</v>
      </c>
      <c r="BO89" t="e">
        <f>AND(#REF!,"AAAAAH9+/0I=")</f>
        <v>#REF!</v>
      </c>
      <c r="BP89" t="e">
        <f>AND(#REF!,"AAAAAH9+/0M=")</f>
        <v>#REF!</v>
      </c>
      <c r="BQ89" t="e">
        <f>AND(#REF!,"AAAAAH9+/0Q=")</f>
        <v>#REF!</v>
      </c>
      <c r="BR89" t="e">
        <f>AND(#REF!,"AAAAAH9+/0U=")</f>
        <v>#REF!</v>
      </c>
      <c r="BS89" t="e">
        <f>AND(#REF!,"AAAAAH9+/0Y=")</f>
        <v>#REF!</v>
      </c>
      <c r="BT89" t="e">
        <f>AND(#REF!,"AAAAAH9+/0c=")</f>
        <v>#REF!</v>
      </c>
      <c r="BU89" t="e">
        <f>AND(#REF!,"AAAAAH9+/0g=")</f>
        <v>#REF!</v>
      </c>
      <c r="BV89" t="e">
        <f>AND(#REF!,"AAAAAH9+/0k=")</f>
        <v>#REF!</v>
      </c>
      <c r="BW89" t="e">
        <f>AND(#REF!,"AAAAAH9+/0o=")</f>
        <v>#REF!</v>
      </c>
      <c r="BX89" t="e">
        <f>AND(#REF!,"AAAAAH9+/0s=")</f>
        <v>#REF!</v>
      </c>
      <c r="BY89" t="e">
        <f>AND(#REF!,"AAAAAH9+/0w=")</f>
        <v>#REF!</v>
      </c>
      <c r="BZ89" t="e">
        <f>AND(#REF!,"AAAAAH9+/00=")</f>
        <v>#REF!</v>
      </c>
      <c r="CA89" t="e">
        <f>AND(#REF!,"AAAAAH9+/04=")</f>
        <v>#REF!</v>
      </c>
      <c r="CB89" t="e">
        <f>AND(#REF!,"AAAAAH9+/08=")</f>
        <v>#REF!</v>
      </c>
      <c r="CC89" t="e">
        <f>AND(#REF!,"AAAAAH9+/1A=")</f>
        <v>#REF!</v>
      </c>
      <c r="CD89" t="e">
        <f>AND(#REF!,"AAAAAH9+/1E=")</f>
        <v>#REF!</v>
      </c>
      <c r="CE89" t="e">
        <f>AND(#REF!,"AAAAAH9+/1I=")</f>
        <v>#REF!</v>
      </c>
      <c r="CF89" t="e">
        <f>AND(#REF!,"AAAAAH9+/1M=")</f>
        <v>#REF!</v>
      </c>
      <c r="CG89" t="e">
        <f>AND(#REF!,"AAAAAH9+/1Q=")</f>
        <v>#REF!</v>
      </c>
      <c r="CH89" t="e">
        <f>AND(#REF!,"AAAAAH9+/1U=")</f>
        <v>#REF!</v>
      </c>
      <c r="CI89" t="e">
        <f>AND(#REF!,"AAAAAH9+/1Y=")</f>
        <v>#REF!</v>
      </c>
      <c r="CJ89" t="e">
        <f>AND(#REF!,"AAAAAH9+/1c=")</f>
        <v>#REF!</v>
      </c>
      <c r="CK89" t="e">
        <f>AND(#REF!,"AAAAAH9+/1g=")</f>
        <v>#REF!</v>
      </c>
      <c r="CL89" t="e">
        <f>AND(#REF!,"AAAAAH9+/1k=")</f>
        <v>#REF!</v>
      </c>
      <c r="CM89" t="e">
        <f>AND(#REF!,"AAAAAH9+/1o=")</f>
        <v>#REF!</v>
      </c>
      <c r="CN89" t="e">
        <f>AND(#REF!,"AAAAAH9+/1s=")</f>
        <v>#REF!</v>
      </c>
      <c r="CO89" t="e">
        <f>AND(#REF!,"AAAAAH9+/1w=")</f>
        <v>#REF!</v>
      </c>
      <c r="CP89" t="e">
        <f>AND(#REF!,"AAAAAH9+/10=")</f>
        <v>#REF!</v>
      </c>
      <c r="CQ89" t="e">
        <f>AND(#REF!,"AAAAAH9+/14=")</f>
        <v>#REF!</v>
      </c>
      <c r="CR89" t="e">
        <f>AND(#REF!,"AAAAAH9+/18=")</f>
        <v>#REF!</v>
      </c>
      <c r="CS89" t="e">
        <f>AND(#REF!,"AAAAAH9+/2A=")</f>
        <v>#REF!</v>
      </c>
      <c r="CT89" t="e">
        <f>AND(#REF!,"AAAAAH9+/2E=")</f>
        <v>#REF!</v>
      </c>
      <c r="CU89" t="e">
        <f>AND(#REF!,"AAAAAH9+/2I=")</f>
        <v>#REF!</v>
      </c>
      <c r="CV89" t="e">
        <f>AND(#REF!,"AAAAAH9+/2M=")</f>
        <v>#REF!</v>
      </c>
      <c r="CW89" t="e">
        <f>AND(#REF!,"AAAAAH9+/2Q=")</f>
        <v>#REF!</v>
      </c>
      <c r="CX89" t="e">
        <f>AND(#REF!,"AAAAAH9+/2U=")</f>
        <v>#REF!</v>
      </c>
      <c r="CY89" t="e">
        <f>AND(#REF!,"AAAAAH9+/2Y=")</f>
        <v>#REF!</v>
      </c>
      <c r="CZ89" t="e">
        <f>AND(#REF!,"AAAAAH9+/2c=")</f>
        <v>#REF!</v>
      </c>
      <c r="DA89" t="e">
        <f>AND(#REF!,"AAAAAH9+/2g=")</f>
        <v>#REF!</v>
      </c>
      <c r="DB89" t="e">
        <f>AND(#REF!,"AAAAAH9+/2k=")</f>
        <v>#REF!</v>
      </c>
      <c r="DC89" t="e">
        <f>AND(#REF!,"AAAAAH9+/2o=")</f>
        <v>#REF!</v>
      </c>
      <c r="DD89" t="e">
        <f>AND(#REF!,"AAAAAH9+/2s=")</f>
        <v>#REF!</v>
      </c>
      <c r="DE89" t="e">
        <f>AND(#REF!,"AAAAAH9+/2w=")</f>
        <v>#REF!</v>
      </c>
      <c r="DF89" t="e">
        <f>AND(#REF!,"AAAAAH9+/20=")</f>
        <v>#REF!</v>
      </c>
      <c r="DG89" t="e">
        <f>AND(#REF!,"AAAAAH9+/24=")</f>
        <v>#REF!</v>
      </c>
      <c r="DH89" t="e">
        <f>IF(#REF!,"AAAAAH9+/28=",0)</f>
        <v>#REF!</v>
      </c>
      <c r="DI89" t="e">
        <f>AND(#REF!,"AAAAAH9+/3A=")</f>
        <v>#REF!</v>
      </c>
      <c r="DJ89" t="e">
        <f>AND(#REF!,"AAAAAH9+/3E=")</f>
        <v>#REF!</v>
      </c>
      <c r="DK89" t="e">
        <f>AND(#REF!,"AAAAAH9+/3I=")</f>
        <v>#REF!</v>
      </c>
      <c r="DL89" t="e">
        <f>AND(#REF!,"AAAAAH9+/3M=")</f>
        <v>#REF!</v>
      </c>
      <c r="DM89" t="e">
        <f>AND(#REF!,"AAAAAH9+/3Q=")</f>
        <v>#REF!</v>
      </c>
      <c r="DN89" t="e">
        <f>AND(#REF!,"AAAAAH9+/3U=")</f>
        <v>#REF!</v>
      </c>
      <c r="DO89" t="e">
        <f>AND(#REF!,"AAAAAH9+/3Y=")</f>
        <v>#REF!</v>
      </c>
      <c r="DP89" t="e">
        <f>AND(#REF!,"AAAAAH9+/3c=")</f>
        <v>#REF!</v>
      </c>
      <c r="DQ89" t="e">
        <f>AND(#REF!,"AAAAAH9+/3g=")</f>
        <v>#REF!</v>
      </c>
      <c r="DR89" t="e">
        <f>AND(#REF!,"AAAAAH9+/3k=")</f>
        <v>#REF!</v>
      </c>
      <c r="DS89" t="e">
        <f>AND(#REF!,"AAAAAH9+/3o=")</f>
        <v>#REF!</v>
      </c>
      <c r="DT89" t="e">
        <f>AND(#REF!,"AAAAAH9+/3s=")</f>
        <v>#REF!</v>
      </c>
      <c r="DU89" t="e">
        <f>AND(#REF!,"AAAAAH9+/3w=")</f>
        <v>#REF!</v>
      </c>
      <c r="DV89" t="e">
        <f>AND(#REF!,"AAAAAH9+/30=")</f>
        <v>#REF!</v>
      </c>
      <c r="DW89" t="e">
        <f>AND(#REF!,"AAAAAH9+/34=")</f>
        <v>#REF!</v>
      </c>
      <c r="DX89" t="e">
        <f>AND(#REF!,"AAAAAH9+/38=")</f>
        <v>#REF!</v>
      </c>
      <c r="DY89" t="e">
        <f>AND(#REF!,"AAAAAH9+/4A=")</f>
        <v>#REF!</v>
      </c>
      <c r="DZ89" t="e">
        <f>AND(#REF!,"AAAAAH9+/4E=")</f>
        <v>#REF!</v>
      </c>
      <c r="EA89" t="e">
        <f>AND(#REF!,"AAAAAH9+/4I=")</f>
        <v>#REF!</v>
      </c>
      <c r="EB89" t="e">
        <f>AND(#REF!,"AAAAAH9+/4M=")</f>
        <v>#REF!</v>
      </c>
      <c r="EC89" t="e">
        <f>AND(#REF!,"AAAAAH9+/4Q=")</f>
        <v>#REF!</v>
      </c>
      <c r="ED89" t="e">
        <f>AND(#REF!,"AAAAAH9+/4U=")</f>
        <v>#REF!</v>
      </c>
      <c r="EE89" t="e">
        <f>AND(#REF!,"AAAAAH9+/4Y=")</f>
        <v>#REF!</v>
      </c>
      <c r="EF89" t="e">
        <f>AND(#REF!,"AAAAAH9+/4c=")</f>
        <v>#REF!</v>
      </c>
      <c r="EG89" t="e">
        <f>AND(#REF!,"AAAAAH9+/4g=")</f>
        <v>#REF!</v>
      </c>
      <c r="EH89" t="e">
        <f>AND(#REF!,"AAAAAH9+/4k=")</f>
        <v>#REF!</v>
      </c>
      <c r="EI89" t="e">
        <f>AND(#REF!,"AAAAAH9+/4o=")</f>
        <v>#REF!</v>
      </c>
      <c r="EJ89" t="e">
        <f>AND(#REF!,"AAAAAH9+/4s=")</f>
        <v>#REF!</v>
      </c>
      <c r="EK89" t="e">
        <f>AND(#REF!,"AAAAAH9+/4w=")</f>
        <v>#REF!</v>
      </c>
      <c r="EL89" t="e">
        <f>AND(#REF!,"AAAAAH9+/40=")</f>
        <v>#REF!</v>
      </c>
      <c r="EM89" t="e">
        <f>AND(#REF!,"AAAAAH9+/44=")</f>
        <v>#REF!</v>
      </c>
      <c r="EN89" t="e">
        <f>AND(#REF!,"AAAAAH9+/48=")</f>
        <v>#REF!</v>
      </c>
      <c r="EO89" t="e">
        <f>AND(#REF!,"AAAAAH9+/5A=")</f>
        <v>#REF!</v>
      </c>
      <c r="EP89" t="e">
        <f>AND(#REF!,"AAAAAH9+/5E=")</f>
        <v>#REF!</v>
      </c>
      <c r="EQ89" t="e">
        <f>AND(#REF!,"AAAAAH9+/5I=")</f>
        <v>#REF!</v>
      </c>
      <c r="ER89" t="e">
        <f>AND(#REF!,"AAAAAH9+/5M=")</f>
        <v>#REF!</v>
      </c>
      <c r="ES89" t="e">
        <f>AND(#REF!,"AAAAAH9+/5Q=")</f>
        <v>#REF!</v>
      </c>
      <c r="ET89" t="e">
        <f>AND(#REF!,"AAAAAH9+/5U=")</f>
        <v>#REF!</v>
      </c>
      <c r="EU89" t="e">
        <f>AND(#REF!,"AAAAAH9+/5Y=")</f>
        <v>#REF!</v>
      </c>
      <c r="EV89" t="e">
        <f>AND(#REF!,"AAAAAH9+/5c=")</f>
        <v>#REF!</v>
      </c>
      <c r="EW89" t="e">
        <f>AND(#REF!,"AAAAAH9+/5g=")</f>
        <v>#REF!</v>
      </c>
      <c r="EX89" t="e">
        <f>AND(#REF!,"AAAAAH9+/5k=")</f>
        <v>#REF!</v>
      </c>
      <c r="EY89" t="e">
        <f>AND(#REF!,"AAAAAH9+/5o=")</f>
        <v>#REF!</v>
      </c>
      <c r="EZ89" t="e">
        <f>AND(#REF!,"AAAAAH9+/5s=")</f>
        <v>#REF!</v>
      </c>
      <c r="FA89" t="e">
        <f>AND(#REF!,"AAAAAH9+/5w=")</f>
        <v>#REF!</v>
      </c>
      <c r="FB89" t="e">
        <f>AND(#REF!,"AAAAAH9+/50=")</f>
        <v>#REF!</v>
      </c>
      <c r="FC89" t="e">
        <f>AND(#REF!,"AAAAAH9+/54=")</f>
        <v>#REF!</v>
      </c>
      <c r="FD89" t="e">
        <f>AND(#REF!,"AAAAAH9+/58=")</f>
        <v>#REF!</v>
      </c>
      <c r="FE89" t="e">
        <f>AND(#REF!,"AAAAAH9+/6A=")</f>
        <v>#REF!</v>
      </c>
      <c r="FF89" t="e">
        <f>AND(#REF!,"AAAAAH9+/6E=")</f>
        <v>#REF!</v>
      </c>
      <c r="FG89" t="e">
        <f>AND(#REF!,"AAAAAH9+/6I=")</f>
        <v>#REF!</v>
      </c>
      <c r="FH89" t="e">
        <f>AND(#REF!,"AAAAAH9+/6M=")</f>
        <v>#REF!</v>
      </c>
      <c r="FI89" t="e">
        <f>AND(#REF!,"AAAAAH9+/6Q=")</f>
        <v>#REF!</v>
      </c>
      <c r="FJ89" t="e">
        <f>AND(#REF!,"AAAAAH9+/6U=")</f>
        <v>#REF!</v>
      </c>
      <c r="FK89" t="e">
        <f>IF(#REF!,"AAAAAH9+/6Y=",0)</f>
        <v>#REF!</v>
      </c>
      <c r="FL89" t="e">
        <f>AND(#REF!,"AAAAAH9+/6c=")</f>
        <v>#REF!</v>
      </c>
      <c r="FM89" t="e">
        <f>AND(#REF!,"AAAAAH9+/6g=")</f>
        <v>#REF!</v>
      </c>
      <c r="FN89" t="e">
        <f>AND(#REF!,"AAAAAH9+/6k=")</f>
        <v>#REF!</v>
      </c>
      <c r="FO89" t="e">
        <f>AND(#REF!,"AAAAAH9+/6o=")</f>
        <v>#REF!</v>
      </c>
      <c r="FP89" t="e">
        <f>AND(#REF!,"AAAAAH9+/6s=")</f>
        <v>#REF!</v>
      </c>
      <c r="FQ89" t="e">
        <f>AND(#REF!,"AAAAAH9+/6w=")</f>
        <v>#REF!</v>
      </c>
      <c r="FR89" t="e">
        <f>AND(#REF!,"AAAAAH9+/60=")</f>
        <v>#REF!</v>
      </c>
      <c r="FS89" t="e">
        <f>AND(#REF!,"AAAAAH9+/64=")</f>
        <v>#REF!</v>
      </c>
      <c r="FT89" t="e">
        <f>AND(#REF!,"AAAAAH9+/68=")</f>
        <v>#REF!</v>
      </c>
      <c r="FU89" t="e">
        <f>AND(#REF!,"AAAAAH9+/7A=")</f>
        <v>#REF!</v>
      </c>
      <c r="FV89" t="e">
        <f>AND(#REF!,"AAAAAH9+/7E=")</f>
        <v>#REF!</v>
      </c>
      <c r="FW89" t="e">
        <f>AND(#REF!,"AAAAAH9+/7I=")</f>
        <v>#REF!</v>
      </c>
      <c r="FX89" t="e">
        <f>AND(#REF!,"AAAAAH9+/7M=")</f>
        <v>#REF!</v>
      </c>
      <c r="FY89" t="e">
        <f>AND(#REF!,"AAAAAH9+/7Q=")</f>
        <v>#REF!</v>
      </c>
      <c r="FZ89" t="e">
        <f>AND(#REF!,"AAAAAH9+/7U=")</f>
        <v>#REF!</v>
      </c>
      <c r="GA89" t="e">
        <f>AND(#REF!,"AAAAAH9+/7Y=")</f>
        <v>#REF!</v>
      </c>
      <c r="GB89" t="e">
        <f>AND(#REF!,"AAAAAH9+/7c=")</f>
        <v>#REF!</v>
      </c>
      <c r="GC89" t="e">
        <f>AND(#REF!,"AAAAAH9+/7g=")</f>
        <v>#REF!</v>
      </c>
      <c r="GD89" t="e">
        <f>AND(#REF!,"AAAAAH9+/7k=")</f>
        <v>#REF!</v>
      </c>
      <c r="GE89" t="e">
        <f>AND(#REF!,"AAAAAH9+/7o=")</f>
        <v>#REF!</v>
      </c>
      <c r="GF89" t="e">
        <f>AND(#REF!,"AAAAAH9+/7s=")</f>
        <v>#REF!</v>
      </c>
      <c r="GG89" t="e">
        <f>AND(#REF!,"AAAAAH9+/7w=")</f>
        <v>#REF!</v>
      </c>
      <c r="GH89" t="e">
        <f>AND(#REF!,"AAAAAH9+/70=")</f>
        <v>#REF!</v>
      </c>
      <c r="GI89" t="e">
        <f>AND(#REF!,"AAAAAH9+/74=")</f>
        <v>#REF!</v>
      </c>
      <c r="GJ89" t="e">
        <f>AND(#REF!,"AAAAAH9+/78=")</f>
        <v>#REF!</v>
      </c>
      <c r="GK89" t="e">
        <f>AND(#REF!,"AAAAAH9+/8A=")</f>
        <v>#REF!</v>
      </c>
      <c r="GL89" t="e">
        <f>AND(#REF!,"AAAAAH9+/8E=")</f>
        <v>#REF!</v>
      </c>
      <c r="GM89" t="e">
        <f>AND(#REF!,"AAAAAH9+/8I=")</f>
        <v>#REF!</v>
      </c>
      <c r="GN89" t="e">
        <f>AND(#REF!,"AAAAAH9+/8M=")</f>
        <v>#REF!</v>
      </c>
      <c r="GO89" t="e">
        <f>AND(#REF!,"AAAAAH9+/8Q=")</f>
        <v>#REF!</v>
      </c>
      <c r="GP89" t="e">
        <f>AND(#REF!,"AAAAAH9+/8U=")</f>
        <v>#REF!</v>
      </c>
      <c r="GQ89" t="e">
        <f>AND(#REF!,"AAAAAH9+/8Y=")</f>
        <v>#REF!</v>
      </c>
      <c r="GR89" t="e">
        <f>AND(#REF!,"AAAAAH9+/8c=")</f>
        <v>#REF!</v>
      </c>
      <c r="GS89" t="e">
        <f>AND(#REF!,"AAAAAH9+/8g=")</f>
        <v>#REF!</v>
      </c>
      <c r="GT89" t="e">
        <f>AND(#REF!,"AAAAAH9+/8k=")</f>
        <v>#REF!</v>
      </c>
      <c r="GU89" t="e">
        <f>AND(#REF!,"AAAAAH9+/8o=")</f>
        <v>#REF!</v>
      </c>
      <c r="GV89" t="e">
        <f>AND(#REF!,"AAAAAH9+/8s=")</f>
        <v>#REF!</v>
      </c>
      <c r="GW89" t="e">
        <f>AND(#REF!,"AAAAAH9+/8w=")</f>
        <v>#REF!</v>
      </c>
      <c r="GX89" t="e">
        <f>AND(#REF!,"AAAAAH9+/80=")</f>
        <v>#REF!</v>
      </c>
      <c r="GY89" t="e">
        <f>AND(#REF!,"AAAAAH9+/84=")</f>
        <v>#REF!</v>
      </c>
      <c r="GZ89" t="e">
        <f>AND(#REF!,"AAAAAH9+/88=")</f>
        <v>#REF!</v>
      </c>
      <c r="HA89" t="e">
        <f>AND(#REF!,"AAAAAH9+/9A=")</f>
        <v>#REF!</v>
      </c>
      <c r="HB89" t="e">
        <f>AND(#REF!,"AAAAAH9+/9E=")</f>
        <v>#REF!</v>
      </c>
      <c r="HC89" t="e">
        <f>AND(#REF!,"AAAAAH9+/9I=")</f>
        <v>#REF!</v>
      </c>
      <c r="HD89" t="e">
        <f>AND(#REF!,"AAAAAH9+/9M=")</f>
        <v>#REF!</v>
      </c>
      <c r="HE89" t="e">
        <f>AND(#REF!,"AAAAAH9+/9Q=")</f>
        <v>#REF!</v>
      </c>
      <c r="HF89" t="e">
        <f>AND(#REF!,"AAAAAH9+/9U=")</f>
        <v>#REF!</v>
      </c>
      <c r="HG89" t="e">
        <f>AND(#REF!,"AAAAAH9+/9Y=")</f>
        <v>#REF!</v>
      </c>
      <c r="HH89" t="e">
        <f>AND(#REF!,"AAAAAH9+/9c=")</f>
        <v>#REF!</v>
      </c>
      <c r="HI89" t="e">
        <f>AND(#REF!,"AAAAAH9+/9g=")</f>
        <v>#REF!</v>
      </c>
      <c r="HJ89" t="e">
        <f>AND(#REF!,"AAAAAH9+/9k=")</f>
        <v>#REF!</v>
      </c>
      <c r="HK89" t="e">
        <f>AND(#REF!,"AAAAAH9+/9o=")</f>
        <v>#REF!</v>
      </c>
      <c r="HL89" t="e">
        <f>AND(#REF!,"AAAAAH9+/9s=")</f>
        <v>#REF!</v>
      </c>
      <c r="HM89" t="e">
        <f>AND(#REF!,"AAAAAH9+/9w=")</f>
        <v>#REF!</v>
      </c>
      <c r="HN89" t="e">
        <f>IF(#REF!,"AAAAAH9+/90=",0)</f>
        <v>#REF!</v>
      </c>
      <c r="HO89" t="e">
        <f>AND(#REF!,"AAAAAH9+/94=")</f>
        <v>#REF!</v>
      </c>
      <c r="HP89" t="e">
        <f>AND(#REF!,"AAAAAH9+/98=")</f>
        <v>#REF!</v>
      </c>
      <c r="HQ89" t="e">
        <f>AND(#REF!,"AAAAAH9+/+A=")</f>
        <v>#REF!</v>
      </c>
      <c r="HR89" t="e">
        <f>AND(#REF!,"AAAAAH9+/+E=")</f>
        <v>#REF!</v>
      </c>
      <c r="HS89" t="e">
        <f>AND(#REF!,"AAAAAH9+/+I=")</f>
        <v>#REF!</v>
      </c>
      <c r="HT89" t="e">
        <f>AND(#REF!,"AAAAAH9+/+M=")</f>
        <v>#REF!</v>
      </c>
      <c r="HU89" t="e">
        <f>AND(#REF!,"AAAAAH9+/+Q=")</f>
        <v>#REF!</v>
      </c>
      <c r="HV89" t="e">
        <f>AND(#REF!,"AAAAAH9+/+U=")</f>
        <v>#REF!</v>
      </c>
      <c r="HW89" t="e">
        <f>AND(#REF!,"AAAAAH9+/+Y=")</f>
        <v>#REF!</v>
      </c>
      <c r="HX89" t="e">
        <f>AND(#REF!,"AAAAAH9+/+c=")</f>
        <v>#REF!</v>
      </c>
      <c r="HY89" t="e">
        <f>AND(#REF!,"AAAAAH9+/+g=")</f>
        <v>#REF!</v>
      </c>
      <c r="HZ89" t="e">
        <f>AND(#REF!,"AAAAAH9+/+k=")</f>
        <v>#REF!</v>
      </c>
      <c r="IA89" t="e">
        <f>AND(#REF!,"AAAAAH9+/+o=")</f>
        <v>#REF!</v>
      </c>
      <c r="IB89" t="e">
        <f>AND(#REF!,"AAAAAH9+/+s=")</f>
        <v>#REF!</v>
      </c>
      <c r="IC89" t="e">
        <f>AND(#REF!,"AAAAAH9+/+w=")</f>
        <v>#REF!</v>
      </c>
      <c r="ID89" t="e">
        <f>AND(#REF!,"AAAAAH9+/+0=")</f>
        <v>#REF!</v>
      </c>
      <c r="IE89" t="e">
        <f>AND(#REF!,"AAAAAH9+/+4=")</f>
        <v>#REF!</v>
      </c>
      <c r="IF89" t="e">
        <f>AND(#REF!,"AAAAAH9+/+8=")</f>
        <v>#REF!</v>
      </c>
      <c r="IG89" t="e">
        <f>AND(#REF!,"AAAAAH9+//A=")</f>
        <v>#REF!</v>
      </c>
      <c r="IH89" t="e">
        <f>AND(#REF!,"AAAAAH9+//E=")</f>
        <v>#REF!</v>
      </c>
      <c r="II89" t="e">
        <f>AND(#REF!,"AAAAAH9+//I=")</f>
        <v>#REF!</v>
      </c>
      <c r="IJ89" t="e">
        <f>AND(#REF!,"AAAAAH9+//M=")</f>
        <v>#REF!</v>
      </c>
      <c r="IK89" t="e">
        <f>AND(#REF!,"AAAAAH9+//Q=")</f>
        <v>#REF!</v>
      </c>
      <c r="IL89" t="e">
        <f>AND(#REF!,"AAAAAH9+//U=")</f>
        <v>#REF!</v>
      </c>
      <c r="IM89" t="e">
        <f>AND(#REF!,"AAAAAH9+//Y=")</f>
        <v>#REF!</v>
      </c>
      <c r="IN89" t="e">
        <f>AND(#REF!,"AAAAAH9+//c=")</f>
        <v>#REF!</v>
      </c>
      <c r="IO89" t="e">
        <f>AND(#REF!,"AAAAAH9+//g=")</f>
        <v>#REF!</v>
      </c>
      <c r="IP89" t="e">
        <f>AND(#REF!,"AAAAAH9+//k=")</f>
        <v>#REF!</v>
      </c>
      <c r="IQ89" t="e">
        <f>AND(#REF!,"AAAAAH9+//o=")</f>
        <v>#REF!</v>
      </c>
      <c r="IR89" t="e">
        <f>AND(#REF!,"AAAAAH9+//s=")</f>
        <v>#REF!</v>
      </c>
      <c r="IS89" t="e">
        <f>AND(#REF!,"AAAAAH9+//w=")</f>
        <v>#REF!</v>
      </c>
      <c r="IT89" t="e">
        <f>AND(#REF!,"AAAAAH9+//0=")</f>
        <v>#REF!</v>
      </c>
      <c r="IU89" t="e">
        <f>AND(#REF!,"AAAAAH9+//4=")</f>
        <v>#REF!</v>
      </c>
      <c r="IV89" t="e">
        <f>AND(#REF!,"AAAAAH9+//8=")</f>
        <v>#REF!</v>
      </c>
    </row>
    <row r="90" spans="1:256" x14ac:dyDescent="0.25">
      <c r="A90" t="e">
        <f>AND(#REF!,"AAAAAAe+fwA=")</f>
        <v>#REF!</v>
      </c>
      <c r="B90" t="e">
        <f>AND(#REF!,"AAAAAAe+fwE=")</f>
        <v>#REF!</v>
      </c>
      <c r="C90" t="e">
        <f>AND(#REF!,"AAAAAAe+fwI=")</f>
        <v>#REF!</v>
      </c>
      <c r="D90" t="e">
        <f>AND(#REF!,"AAAAAAe+fwM=")</f>
        <v>#REF!</v>
      </c>
      <c r="E90" t="e">
        <f>AND(#REF!,"AAAAAAe+fwQ=")</f>
        <v>#REF!</v>
      </c>
      <c r="F90" t="e">
        <f>AND(#REF!,"AAAAAAe+fwU=")</f>
        <v>#REF!</v>
      </c>
      <c r="G90" t="e">
        <f>AND(#REF!,"AAAAAAe+fwY=")</f>
        <v>#REF!</v>
      </c>
      <c r="H90" t="e">
        <f>AND(#REF!,"AAAAAAe+fwc=")</f>
        <v>#REF!</v>
      </c>
      <c r="I90" t="e">
        <f>AND(#REF!,"AAAAAAe+fwg=")</f>
        <v>#REF!</v>
      </c>
      <c r="J90" t="e">
        <f>AND(#REF!,"AAAAAAe+fwk=")</f>
        <v>#REF!</v>
      </c>
      <c r="K90" t="e">
        <f>AND(#REF!,"AAAAAAe+fwo=")</f>
        <v>#REF!</v>
      </c>
      <c r="L90" t="e">
        <f>AND(#REF!,"AAAAAAe+fws=")</f>
        <v>#REF!</v>
      </c>
      <c r="M90" t="e">
        <f>AND(#REF!,"AAAAAAe+fww=")</f>
        <v>#REF!</v>
      </c>
      <c r="N90" t="e">
        <f>AND(#REF!,"AAAAAAe+fw0=")</f>
        <v>#REF!</v>
      </c>
      <c r="O90" t="e">
        <f>AND(#REF!,"AAAAAAe+fw4=")</f>
        <v>#REF!</v>
      </c>
      <c r="P90" t="e">
        <f>AND(#REF!,"AAAAAAe+fw8=")</f>
        <v>#REF!</v>
      </c>
      <c r="Q90" t="e">
        <f>AND(#REF!,"AAAAAAe+fxA=")</f>
        <v>#REF!</v>
      </c>
      <c r="R90" t="e">
        <f>AND(#REF!,"AAAAAAe+fxE=")</f>
        <v>#REF!</v>
      </c>
      <c r="S90" t="e">
        <f>AND(#REF!,"AAAAAAe+fxI=")</f>
        <v>#REF!</v>
      </c>
      <c r="T90" t="e">
        <f>AND(#REF!,"AAAAAAe+fxM=")</f>
        <v>#REF!</v>
      </c>
      <c r="U90" t="e">
        <f>IF(#REF!,"AAAAAAe+fxQ=",0)</f>
        <v>#REF!</v>
      </c>
      <c r="V90" t="e">
        <f>AND(#REF!,"AAAAAAe+fxU=")</f>
        <v>#REF!</v>
      </c>
      <c r="W90" t="e">
        <f>AND(#REF!,"AAAAAAe+fxY=")</f>
        <v>#REF!</v>
      </c>
      <c r="X90" t="e">
        <f>AND(#REF!,"AAAAAAe+fxc=")</f>
        <v>#REF!</v>
      </c>
      <c r="Y90" t="e">
        <f>AND(#REF!,"AAAAAAe+fxg=")</f>
        <v>#REF!</v>
      </c>
      <c r="Z90" t="e">
        <f>AND(#REF!,"AAAAAAe+fxk=")</f>
        <v>#REF!</v>
      </c>
      <c r="AA90" t="e">
        <f>AND(#REF!,"AAAAAAe+fxo=")</f>
        <v>#REF!</v>
      </c>
      <c r="AB90" t="e">
        <f>AND(#REF!,"AAAAAAe+fxs=")</f>
        <v>#REF!</v>
      </c>
      <c r="AC90" t="e">
        <f>AND(#REF!,"AAAAAAe+fxw=")</f>
        <v>#REF!</v>
      </c>
      <c r="AD90" t="e">
        <f>AND(#REF!,"AAAAAAe+fx0=")</f>
        <v>#REF!</v>
      </c>
      <c r="AE90" t="e">
        <f>AND(#REF!,"AAAAAAe+fx4=")</f>
        <v>#REF!</v>
      </c>
      <c r="AF90" t="e">
        <f>AND(#REF!,"AAAAAAe+fx8=")</f>
        <v>#REF!</v>
      </c>
      <c r="AG90" t="e">
        <f>AND(#REF!,"AAAAAAe+fyA=")</f>
        <v>#REF!</v>
      </c>
      <c r="AH90" t="e">
        <f>AND(#REF!,"AAAAAAe+fyE=")</f>
        <v>#REF!</v>
      </c>
      <c r="AI90" t="e">
        <f>AND(#REF!,"AAAAAAe+fyI=")</f>
        <v>#REF!</v>
      </c>
      <c r="AJ90" t="e">
        <f>AND(#REF!,"AAAAAAe+fyM=")</f>
        <v>#REF!</v>
      </c>
      <c r="AK90" t="e">
        <f>AND(#REF!,"AAAAAAe+fyQ=")</f>
        <v>#REF!</v>
      </c>
      <c r="AL90" t="e">
        <f>AND(#REF!,"AAAAAAe+fyU=")</f>
        <v>#REF!</v>
      </c>
      <c r="AM90" t="e">
        <f>AND(#REF!,"AAAAAAe+fyY=")</f>
        <v>#REF!</v>
      </c>
      <c r="AN90" t="e">
        <f>AND(#REF!,"AAAAAAe+fyc=")</f>
        <v>#REF!</v>
      </c>
      <c r="AO90" t="e">
        <f>AND(#REF!,"AAAAAAe+fyg=")</f>
        <v>#REF!</v>
      </c>
      <c r="AP90" t="e">
        <f>AND(#REF!,"AAAAAAe+fyk=")</f>
        <v>#REF!</v>
      </c>
      <c r="AQ90" t="e">
        <f>AND(#REF!,"AAAAAAe+fyo=")</f>
        <v>#REF!</v>
      </c>
      <c r="AR90" t="e">
        <f>AND(#REF!,"AAAAAAe+fys=")</f>
        <v>#REF!</v>
      </c>
      <c r="AS90" t="e">
        <f>AND(#REF!,"AAAAAAe+fyw=")</f>
        <v>#REF!</v>
      </c>
      <c r="AT90" t="e">
        <f>AND(#REF!,"AAAAAAe+fy0=")</f>
        <v>#REF!</v>
      </c>
      <c r="AU90" t="e">
        <f>AND(#REF!,"AAAAAAe+fy4=")</f>
        <v>#REF!</v>
      </c>
      <c r="AV90" t="e">
        <f>AND(#REF!,"AAAAAAe+fy8=")</f>
        <v>#REF!</v>
      </c>
      <c r="AW90" t="e">
        <f>AND(#REF!,"AAAAAAe+fzA=")</f>
        <v>#REF!</v>
      </c>
      <c r="AX90" t="e">
        <f>AND(#REF!,"AAAAAAe+fzE=")</f>
        <v>#REF!</v>
      </c>
      <c r="AY90" t="e">
        <f>AND(#REF!,"AAAAAAe+fzI=")</f>
        <v>#REF!</v>
      </c>
      <c r="AZ90" t="e">
        <f>AND(#REF!,"AAAAAAe+fzM=")</f>
        <v>#REF!</v>
      </c>
      <c r="BA90" t="e">
        <f>AND(#REF!,"AAAAAAe+fzQ=")</f>
        <v>#REF!</v>
      </c>
      <c r="BB90" t="e">
        <f>AND(#REF!,"AAAAAAe+fzU=")</f>
        <v>#REF!</v>
      </c>
      <c r="BC90" t="e">
        <f>AND(#REF!,"AAAAAAe+fzY=")</f>
        <v>#REF!</v>
      </c>
      <c r="BD90" t="e">
        <f>AND(#REF!,"AAAAAAe+fzc=")</f>
        <v>#REF!</v>
      </c>
      <c r="BE90" t="e">
        <f>AND(#REF!,"AAAAAAe+fzg=")</f>
        <v>#REF!</v>
      </c>
      <c r="BF90" t="e">
        <f>AND(#REF!,"AAAAAAe+fzk=")</f>
        <v>#REF!</v>
      </c>
      <c r="BG90" t="e">
        <f>AND(#REF!,"AAAAAAe+fzo=")</f>
        <v>#REF!</v>
      </c>
      <c r="BH90" t="e">
        <f>AND(#REF!,"AAAAAAe+fzs=")</f>
        <v>#REF!</v>
      </c>
      <c r="BI90" t="e">
        <f>AND(#REF!,"AAAAAAe+fzw=")</f>
        <v>#REF!</v>
      </c>
      <c r="BJ90" t="e">
        <f>AND(#REF!,"AAAAAAe+fz0=")</f>
        <v>#REF!</v>
      </c>
      <c r="BK90" t="e">
        <f>AND(#REF!,"AAAAAAe+fz4=")</f>
        <v>#REF!</v>
      </c>
      <c r="BL90" t="e">
        <f>AND(#REF!,"AAAAAAe+fz8=")</f>
        <v>#REF!</v>
      </c>
      <c r="BM90" t="e">
        <f>AND(#REF!,"AAAAAAe+f0A=")</f>
        <v>#REF!</v>
      </c>
      <c r="BN90" t="e">
        <f>AND(#REF!,"AAAAAAe+f0E=")</f>
        <v>#REF!</v>
      </c>
      <c r="BO90" t="e">
        <f>AND(#REF!,"AAAAAAe+f0I=")</f>
        <v>#REF!</v>
      </c>
      <c r="BP90" t="e">
        <f>AND(#REF!,"AAAAAAe+f0M=")</f>
        <v>#REF!</v>
      </c>
      <c r="BQ90" t="e">
        <f>AND(#REF!,"AAAAAAe+f0Q=")</f>
        <v>#REF!</v>
      </c>
      <c r="BR90" t="e">
        <f>AND(#REF!,"AAAAAAe+f0U=")</f>
        <v>#REF!</v>
      </c>
      <c r="BS90" t="e">
        <f>AND(#REF!,"AAAAAAe+f0Y=")</f>
        <v>#REF!</v>
      </c>
      <c r="BT90" t="e">
        <f>AND(#REF!,"AAAAAAe+f0c=")</f>
        <v>#REF!</v>
      </c>
      <c r="BU90" t="e">
        <f>AND(#REF!,"AAAAAAe+f0g=")</f>
        <v>#REF!</v>
      </c>
      <c r="BV90" t="e">
        <f>AND(#REF!,"AAAAAAe+f0k=")</f>
        <v>#REF!</v>
      </c>
      <c r="BW90" t="e">
        <f>AND(#REF!,"AAAAAAe+f0o=")</f>
        <v>#REF!</v>
      </c>
      <c r="BX90" t="e">
        <f>IF(#REF!,"AAAAAAe+f0s=",0)</f>
        <v>#REF!</v>
      </c>
      <c r="BY90" t="e">
        <f>AND(#REF!,"AAAAAAe+f0w=")</f>
        <v>#REF!</v>
      </c>
      <c r="BZ90" t="e">
        <f>AND(#REF!,"AAAAAAe+f00=")</f>
        <v>#REF!</v>
      </c>
      <c r="CA90" t="e">
        <f>AND(#REF!,"AAAAAAe+f04=")</f>
        <v>#REF!</v>
      </c>
      <c r="CB90" t="e">
        <f>AND(#REF!,"AAAAAAe+f08=")</f>
        <v>#REF!</v>
      </c>
      <c r="CC90" t="e">
        <f>AND(#REF!,"AAAAAAe+f1A=")</f>
        <v>#REF!</v>
      </c>
      <c r="CD90" t="e">
        <f>AND(#REF!,"AAAAAAe+f1E=")</f>
        <v>#REF!</v>
      </c>
      <c r="CE90" t="e">
        <f>AND(#REF!,"AAAAAAe+f1I=")</f>
        <v>#REF!</v>
      </c>
      <c r="CF90" t="e">
        <f>AND(#REF!,"AAAAAAe+f1M=")</f>
        <v>#REF!</v>
      </c>
      <c r="CG90" t="e">
        <f>AND(#REF!,"AAAAAAe+f1Q=")</f>
        <v>#REF!</v>
      </c>
      <c r="CH90" t="e">
        <f>AND(#REF!,"AAAAAAe+f1U=")</f>
        <v>#REF!</v>
      </c>
      <c r="CI90" t="e">
        <f>AND(#REF!,"AAAAAAe+f1Y=")</f>
        <v>#REF!</v>
      </c>
      <c r="CJ90" t="e">
        <f>AND(#REF!,"AAAAAAe+f1c=")</f>
        <v>#REF!</v>
      </c>
      <c r="CK90" t="e">
        <f>AND(#REF!,"AAAAAAe+f1g=")</f>
        <v>#REF!</v>
      </c>
      <c r="CL90" t="e">
        <f>AND(#REF!,"AAAAAAe+f1k=")</f>
        <v>#REF!</v>
      </c>
      <c r="CM90" t="e">
        <f>AND(#REF!,"AAAAAAe+f1o=")</f>
        <v>#REF!</v>
      </c>
      <c r="CN90" t="e">
        <f>AND(#REF!,"AAAAAAe+f1s=")</f>
        <v>#REF!</v>
      </c>
      <c r="CO90" t="e">
        <f>AND(#REF!,"AAAAAAe+f1w=")</f>
        <v>#REF!</v>
      </c>
      <c r="CP90" t="e">
        <f>AND(#REF!,"AAAAAAe+f10=")</f>
        <v>#REF!</v>
      </c>
      <c r="CQ90" t="e">
        <f>AND(#REF!,"AAAAAAe+f14=")</f>
        <v>#REF!</v>
      </c>
      <c r="CR90" t="e">
        <f>AND(#REF!,"AAAAAAe+f18=")</f>
        <v>#REF!</v>
      </c>
      <c r="CS90" t="e">
        <f>AND(#REF!,"AAAAAAe+f2A=")</f>
        <v>#REF!</v>
      </c>
      <c r="CT90" t="e">
        <f>AND(#REF!,"AAAAAAe+f2E=")</f>
        <v>#REF!</v>
      </c>
      <c r="CU90" t="e">
        <f>AND(#REF!,"AAAAAAe+f2I=")</f>
        <v>#REF!</v>
      </c>
      <c r="CV90" t="e">
        <f>AND(#REF!,"AAAAAAe+f2M=")</f>
        <v>#REF!</v>
      </c>
      <c r="CW90" t="e">
        <f>AND(#REF!,"AAAAAAe+f2Q=")</f>
        <v>#REF!</v>
      </c>
      <c r="CX90" t="e">
        <f>AND(#REF!,"AAAAAAe+f2U=")</f>
        <v>#REF!</v>
      </c>
      <c r="CY90" t="e">
        <f>AND(#REF!,"AAAAAAe+f2Y=")</f>
        <v>#REF!</v>
      </c>
      <c r="CZ90" t="e">
        <f>AND(#REF!,"AAAAAAe+f2c=")</f>
        <v>#REF!</v>
      </c>
      <c r="DA90" t="e">
        <f>AND(#REF!,"AAAAAAe+f2g=")</f>
        <v>#REF!</v>
      </c>
      <c r="DB90" t="e">
        <f>AND(#REF!,"AAAAAAe+f2k=")</f>
        <v>#REF!</v>
      </c>
      <c r="DC90" t="e">
        <f>AND(#REF!,"AAAAAAe+f2o=")</f>
        <v>#REF!</v>
      </c>
      <c r="DD90" t="e">
        <f>AND(#REF!,"AAAAAAe+f2s=")</f>
        <v>#REF!</v>
      </c>
      <c r="DE90" t="e">
        <f>AND(#REF!,"AAAAAAe+f2w=")</f>
        <v>#REF!</v>
      </c>
      <c r="DF90" t="e">
        <f>AND(#REF!,"AAAAAAe+f20=")</f>
        <v>#REF!</v>
      </c>
      <c r="DG90" t="e">
        <f>AND(#REF!,"AAAAAAe+f24=")</f>
        <v>#REF!</v>
      </c>
      <c r="DH90" t="e">
        <f>AND(#REF!,"AAAAAAe+f28=")</f>
        <v>#REF!</v>
      </c>
      <c r="DI90" t="e">
        <f>AND(#REF!,"AAAAAAe+f3A=")</f>
        <v>#REF!</v>
      </c>
      <c r="DJ90" t="e">
        <f>AND(#REF!,"AAAAAAe+f3E=")</f>
        <v>#REF!</v>
      </c>
      <c r="DK90" t="e">
        <f>AND(#REF!,"AAAAAAe+f3I=")</f>
        <v>#REF!</v>
      </c>
      <c r="DL90" t="e">
        <f>AND(#REF!,"AAAAAAe+f3M=")</f>
        <v>#REF!</v>
      </c>
      <c r="DM90" t="e">
        <f>AND(#REF!,"AAAAAAe+f3Q=")</f>
        <v>#REF!</v>
      </c>
      <c r="DN90" t="e">
        <f>AND(#REF!,"AAAAAAe+f3U=")</f>
        <v>#REF!</v>
      </c>
      <c r="DO90" t="e">
        <f>AND(#REF!,"AAAAAAe+f3Y=")</f>
        <v>#REF!</v>
      </c>
      <c r="DP90" t="e">
        <f>AND(#REF!,"AAAAAAe+f3c=")</f>
        <v>#REF!</v>
      </c>
      <c r="DQ90" t="e">
        <f>AND(#REF!,"AAAAAAe+f3g=")</f>
        <v>#REF!</v>
      </c>
      <c r="DR90" t="e">
        <f>AND(#REF!,"AAAAAAe+f3k=")</f>
        <v>#REF!</v>
      </c>
      <c r="DS90" t="e">
        <f>AND(#REF!,"AAAAAAe+f3o=")</f>
        <v>#REF!</v>
      </c>
      <c r="DT90" t="e">
        <f>AND(#REF!,"AAAAAAe+f3s=")</f>
        <v>#REF!</v>
      </c>
      <c r="DU90" t="e">
        <f>AND(#REF!,"AAAAAAe+f3w=")</f>
        <v>#REF!</v>
      </c>
      <c r="DV90" t="e">
        <f>AND(#REF!,"AAAAAAe+f30=")</f>
        <v>#REF!</v>
      </c>
      <c r="DW90" t="e">
        <f>AND(#REF!,"AAAAAAe+f34=")</f>
        <v>#REF!</v>
      </c>
      <c r="DX90" t="e">
        <f>AND(#REF!,"AAAAAAe+f38=")</f>
        <v>#REF!</v>
      </c>
      <c r="DY90" t="e">
        <f>AND(#REF!,"AAAAAAe+f4A=")</f>
        <v>#REF!</v>
      </c>
      <c r="DZ90" t="e">
        <f>AND(#REF!,"AAAAAAe+f4E=")</f>
        <v>#REF!</v>
      </c>
      <c r="EA90" t="e">
        <f>IF(#REF!,"AAAAAAe+f4I=",0)</f>
        <v>#REF!</v>
      </c>
      <c r="EB90" t="e">
        <f>AND(#REF!,"AAAAAAe+f4M=")</f>
        <v>#REF!</v>
      </c>
      <c r="EC90" t="e">
        <f>AND(#REF!,"AAAAAAe+f4Q=")</f>
        <v>#REF!</v>
      </c>
      <c r="ED90" t="e">
        <f>AND(#REF!,"AAAAAAe+f4U=")</f>
        <v>#REF!</v>
      </c>
      <c r="EE90" t="e">
        <f>AND(#REF!,"AAAAAAe+f4Y=")</f>
        <v>#REF!</v>
      </c>
      <c r="EF90" t="e">
        <f>AND(#REF!,"AAAAAAe+f4c=")</f>
        <v>#REF!</v>
      </c>
      <c r="EG90" t="e">
        <f>AND(#REF!,"AAAAAAe+f4g=")</f>
        <v>#REF!</v>
      </c>
      <c r="EH90" t="e">
        <f>AND(#REF!,"AAAAAAe+f4k=")</f>
        <v>#REF!</v>
      </c>
      <c r="EI90" t="e">
        <f>AND(#REF!,"AAAAAAe+f4o=")</f>
        <v>#REF!</v>
      </c>
      <c r="EJ90" t="e">
        <f>AND(#REF!,"AAAAAAe+f4s=")</f>
        <v>#REF!</v>
      </c>
      <c r="EK90" t="e">
        <f>AND(#REF!,"AAAAAAe+f4w=")</f>
        <v>#REF!</v>
      </c>
      <c r="EL90" t="e">
        <f>AND(#REF!,"AAAAAAe+f40=")</f>
        <v>#REF!</v>
      </c>
      <c r="EM90" t="e">
        <f>AND(#REF!,"AAAAAAe+f44=")</f>
        <v>#REF!</v>
      </c>
      <c r="EN90" t="e">
        <f>AND(#REF!,"AAAAAAe+f48=")</f>
        <v>#REF!</v>
      </c>
      <c r="EO90" t="e">
        <f>AND(#REF!,"AAAAAAe+f5A=")</f>
        <v>#REF!</v>
      </c>
      <c r="EP90" t="e">
        <f>AND(#REF!,"AAAAAAe+f5E=")</f>
        <v>#REF!</v>
      </c>
      <c r="EQ90" t="e">
        <f>AND(#REF!,"AAAAAAe+f5I=")</f>
        <v>#REF!</v>
      </c>
      <c r="ER90" t="e">
        <f>AND(#REF!,"AAAAAAe+f5M=")</f>
        <v>#REF!</v>
      </c>
      <c r="ES90" t="e">
        <f>AND(#REF!,"AAAAAAe+f5Q=")</f>
        <v>#REF!</v>
      </c>
      <c r="ET90" t="e">
        <f>AND(#REF!,"AAAAAAe+f5U=")</f>
        <v>#REF!</v>
      </c>
      <c r="EU90" t="e">
        <f>AND(#REF!,"AAAAAAe+f5Y=")</f>
        <v>#REF!</v>
      </c>
      <c r="EV90" t="e">
        <f>AND(#REF!,"AAAAAAe+f5c=")</f>
        <v>#REF!</v>
      </c>
      <c r="EW90" t="e">
        <f>AND(#REF!,"AAAAAAe+f5g=")</f>
        <v>#REF!</v>
      </c>
      <c r="EX90" t="e">
        <f>AND(#REF!,"AAAAAAe+f5k=")</f>
        <v>#REF!</v>
      </c>
      <c r="EY90" t="e">
        <f>AND(#REF!,"AAAAAAe+f5o=")</f>
        <v>#REF!</v>
      </c>
      <c r="EZ90" t="e">
        <f>AND(#REF!,"AAAAAAe+f5s=")</f>
        <v>#REF!</v>
      </c>
      <c r="FA90" t="e">
        <f>AND(#REF!,"AAAAAAe+f5w=")</f>
        <v>#REF!</v>
      </c>
      <c r="FB90" t="e">
        <f>AND(#REF!,"AAAAAAe+f50=")</f>
        <v>#REF!</v>
      </c>
      <c r="FC90" t="e">
        <f>AND(#REF!,"AAAAAAe+f54=")</f>
        <v>#REF!</v>
      </c>
      <c r="FD90" t="e">
        <f>AND(#REF!,"AAAAAAe+f58=")</f>
        <v>#REF!</v>
      </c>
      <c r="FE90" t="e">
        <f>AND(#REF!,"AAAAAAe+f6A=")</f>
        <v>#REF!</v>
      </c>
      <c r="FF90" t="e">
        <f>AND(#REF!,"AAAAAAe+f6E=")</f>
        <v>#REF!</v>
      </c>
      <c r="FG90" t="e">
        <f>AND(#REF!,"AAAAAAe+f6I=")</f>
        <v>#REF!</v>
      </c>
      <c r="FH90" t="e">
        <f>AND(#REF!,"AAAAAAe+f6M=")</f>
        <v>#REF!</v>
      </c>
      <c r="FI90" t="e">
        <f>AND(#REF!,"AAAAAAe+f6Q=")</f>
        <v>#REF!</v>
      </c>
      <c r="FJ90" t="e">
        <f>AND(#REF!,"AAAAAAe+f6U=")</f>
        <v>#REF!</v>
      </c>
      <c r="FK90" t="e">
        <f>AND(#REF!,"AAAAAAe+f6Y=")</f>
        <v>#REF!</v>
      </c>
      <c r="FL90" t="e">
        <f>AND(#REF!,"AAAAAAe+f6c=")</f>
        <v>#REF!</v>
      </c>
      <c r="FM90" t="e">
        <f>AND(#REF!,"AAAAAAe+f6g=")</f>
        <v>#REF!</v>
      </c>
      <c r="FN90" t="e">
        <f>AND(#REF!,"AAAAAAe+f6k=")</f>
        <v>#REF!</v>
      </c>
      <c r="FO90" t="e">
        <f>AND(#REF!,"AAAAAAe+f6o=")</f>
        <v>#REF!</v>
      </c>
      <c r="FP90" t="e">
        <f>AND(#REF!,"AAAAAAe+f6s=")</f>
        <v>#REF!</v>
      </c>
      <c r="FQ90" t="e">
        <f>AND(#REF!,"AAAAAAe+f6w=")</f>
        <v>#REF!</v>
      </c>
      <c r="FR90" t="e">
        <f>AND(#REF!,"AAAAAAe+f60=")</f>
        <v>#REF!</v>
      </c>
      <c r="FS90" t="e">
        <f>AND(#REF!,"AAAAAAe+f64=")</f>
        <v>#REF!</v>
      </c>
      <c r="FT90" t="e">
        <f>AND(#REF!,"AAAAAAe+f68=")</f>
        <v>#REF!</v>
      </c>
      <c r="FU90" t="e">
        <f>AND(#REF!,"AAAAAAe+f7A=")</f>
        <v>#REF!</v>
      </c>
      <c r="FV90" t="e">
        <f>AND(#REF!,"AAAAAAe+f7E=")</f>
        <v>#REF!</v>
      </c>
      <c r="FW90" t="e">
        <f>AND(#REF!,"AAAAAAe+f7I=")</f>
        <v>#REF!</v>
      </c>
      <c r="FX90" t="e">
        <f>AND(#REF!,"AAAAAAe+f7M=")</f>
        <v>#REF!</v>
      </c>
      <c r="FY90" t="e">
        <f>AND(#REF!,"AAAAAAe+f7Q=")</f>
        <v>#REF!</v>
      </c>
      <c r="FZ90" t="e">
        <f>AND(#REF!,"AAAAAAe+f7U=")</f>
        <v>#REF!</v>
      </c>
      <c r="GA90" t="e">
        <f>AND(#REF!,"AAAAAAe+f7Y=")</f>
        <v>#REF!</v>
      </c>
      <c r="GB90" t="e">
        <f>AND(#REF!,"AAAAAAe+f7c=")</f>
        <v>#REF!</v>
      </c>
      <c r="GC90" t="e">
        <f>AND(#REF!,"AAAAAAe+f7g=")</f>
        <v>#REF!</v>
      </c>
      <c r="GD90" t="e">
        <f>IF(#REF!,"AAAAAAe+f7k=",0)</f>
        <v>#REF!</v>
      </c>
      <c r="GE90" t="e">
        <f>AND(#REF!,"AAAAAAe+f7o=")</f>
        <v>#REF!</v>
      </c>
      <c r="GF90" t="e">
        <f>AND(#REF!,"AAAAAAe+f7s=")</f>
        <v>#REF!</v>
      </c>
      <c r="GG90" t="e">
        <f>AND(#REF!,"AAAAAAe+f7w=")</f>
        <v>#REF!</v>
      </c>
      <c r="GH90" t="e">
        <f>AND(#REF!,"AAAAAAe+f70=")</f>
        <v>#REF!</v>
      </c>
      <c r="GI90" t="e">
        <f>AND(#REF!,"AAAAAAe+f74=")</f>
        <v>#REF!</v>
      </c>
      <c r="GJ90" t="e">
        <f>AND(#REF!,"AAAAAAe+f78=")</f>
        <v>#REF!</v>
      </c>
      <c r="GK90" t="e">
        <f>AND(#REF!,"AAAAAAe+f8A=")</f>
        <v>#REF!</v>
      </c>
      <c r="GL90" t="e">
        <f>AND(#REF!,"AAAAAAe+f8E=")</f>
        <v>#REF!</v>
      </c>
      <c r="GM90" t="e">
        <f>AND(#REF!,"AAAAAAe+f8I=")</f>
        <v>#REF!</v>
      </c>
      <c r="GN90" t="e">
        <f>AND(#REF!,"AAAAAAe+f8M=")</f>
        <v>#REF!</v>
      </c>
      <c r="GO90" t="e">
        <f>AND(#REF!,"AAAAAAe+f8Q=")</f>
        <v>#REF!</v>
      </c>
      <c r="GP90" t="e">
        <f>AND(#REF!,"AAAAAAe+f8U=")</f>
        <v>#REF!</v>
      </c>
      <c r="GQ90" t="e">
        <f>AND(#REF!,"AAAAAAe+f8Y=")</f>
        <v>#REF!</v>
      </c>
      <c r="GR90" t="e">
        <f>AND(#REF!,"AAAAAAe+f8c=")</f>
        <v>#REF!</v>
      </c>
      <c r="GS90" t="e">
        <f>AND(#REF!,"AAAAAAe+f8g=")</f>
        <v>#REF!</v>
      </c>
      <c r="GT90" t="e">
        <f>AND(#REF!,"AAAAAAe+f8k=")</f>
        <v>#REF!</v>
      </c>
      <c r="GU90" t="e">
        <f>AND(#REF!,"AAAAAAe+f8o=")</f>
        <v>#REF!</v>
      </c>
      <c r="GV90" t="e">
        <f>AND(#REF!,"AAAAAAe+f8s=")</f>
        <v>#REF!</v>
      </c>
      <c r="GW90" t="e">
        <f>AND(#REF!,"AAAAAAe+f8w=")</f>
        <v>#REF!</v>
      </c>
      <c r="GX90" t="e">
        <f>AND(#REF!,"AAAAAAe+f80=")</f>
        <v>#REF!</v>
      </c>
      <c r="GY90" t="e">
        <f>AND(#REF!,"AAAAAAe+f84=")</f>
        <v>#REF!</v>
      </c>
      <c r="GZ90" t="e">
        <f>AND(#REF!,"AAAAAAe+f88=")</f>
        <v>#REF!</v>
      </c>
      <c r="HA90" t="e">
        <f>AND(#REF!,"AAAAAAe+f9A=")</f>
        <v>#REF!</v>
      </c>
      <c r="HB90" t="e">
        <f>AND(#REF!,"AAAAAAe+f9E=")</f>
        <v>#REF!</v>
      </c>
      <c r="HC90" t="e">
        <f>AND(#REF!,"AAAAAAe+f9I=")</f>
        <v>#REF!</v>
      </c>
      <c r="HD90" t="e">
        <f>AND(#REF!,"AAAAAAe+f9M=")</f>
        <v>#REF!</v>
      </c>
      <c r="HE90" t="e">
        <f>AND(#REF!,"AAAAAAe+f9Q=")</f>
        <v>#REF!</v>
      </c>
      <c r="HF90" t="e">
        <f>AND(#REF!,"AAAAAAe+f9U=")</f>
        <v>#REF!</v>
      </c>
      <c r="HG90" t="e">
        <f>AND(#REF!,"AAAAAAe+f9Y=")</f>
        <v>#REF!</v>
      </c>
      <c r="HH90" t="e">
        <f>AND(#REF!,"AAAAAAe+f9c=")</f>
        <v>#REF!</v>
      </c>
      <c r="HI90" t="e">
        <f>AND(#REF!,"AAAAAAe+f9g=")</f>
        <v>#REF!</v>
      </c>
      <c r="HJ90" t="e">
        <f>AND(#REF!,"AAAAAAe+f9k=")</f>
        <v>#REF!</v>
      </c>
      <c r="HK90" t="e">
        <f>AND(#REF!,"AAAAAAe+f9o=")</f>
        <v>#REF!</v>
      </c>
      <c r="HL90" t="e">
        <f>AND(#REF!,"AAAAAAe+f9s=")</f>
        <v>#REF!</v>
      </c>
      <c r="HM90" t="e">
        <f>AND(#REF!,"AAAAAAe+f9w=")</f>
        <v>#REF!</v>
      </c>
      <c r="HN90" t="e">
        <f>AND(#REF!,"AAAAAAe+f90=")</f>
        <v>#REF!</v>
      </c>
      <c r="HO90" t="e">
        <f>AND(#REF!,"AAAAAAe+f94=")</f>
        <v>#REF!</v>
      </c>
      <c r="HP90" t="e">
        <f>AND(#REF!,"AAAAAAe+f98=")</f>
        <v>#REF!</v>
      </c>
      <c r="HQ90" t="e">
        <f>AND(#REF!,"AAAAAAe+f+A=")</f>
        <v>#REF!</v>
      </c>
      <c r="HR90" t="e">
        <f>AND(#REF!,"AAAAAAe+f+E=")</f>
        <v>#REF!</v>
      </c>
      <c r="HS90" t="e">
        <f>AND(#REF!,"AAAAAAe+f+I=")</f>
        <v>#REF!</v>
      </c>
      <c r="HT90" t="e">
        <f>AND(#REF!,"AAAAAAe+f+M=")</f>
        <v>#REF!</v>
      </c>
      <c r="HU90" t="e">
        <f>AND(#REF!,"AAAAAAe+f+Q=")</f>
        <v>#REF!</v>
      </c>
      <c r="HV90" t="e">
        <f>AND(#REF!,"AAAAAAe+f+U=")</f>
        <v>#REF!</v>
      </c>
      <c r="HW90" t="e">
        <f>AND(#REF!,"AAAAAAe+f+Y=")</f>
        <v>#REF!</v>
      </c>
      <c r="HX90" t="e">
        <f>AND(#REF!,"AAAAAAe+f+c=")</f>
        <v>#REF!</v>
      </c>
      <c r="HY90" t="e">
        <f>AND(#REF!,"AAAAAAe+f+g=")</f>
        <v>#REF!</v>
      </c>
      <c r="HZ90" t="e">
        <f>AND(#REF!,"AAAAAAe+f+k=")</f>
        <v>#REF!</v>
      </c>
      <c r="IA90" t="e">
        <f>AND(#REF!,"AAAAAAe+f+o=")</f>
        <v>#REF!</v>
      </c>
      <c r="IB90" t="e">
        <f>AND(#REF!,"AAAAAAe+f+s=")</f>
        <v>#REF!</v>
      </c>
      <c r="IC90" t="e">
        <f>AND(#REF!,"AAAAAAe+f+w=")</f>
        <v>#REF!</v>
      </c>
      <c r="ID90" t="e">
        <f>AND(#REF!,"AAAAAAe+f+0=")</f>
        <v>#REF!</v>
      </c>
      <c r="IE90" t="e">
        <f>AND(#REF!,"AAAAAAe+f+4=")</f>
        <v>#REF!</v>
      </c>
      <c r="IF90" t="e">
        <f>AND(#REF!,"AAAAAAe+f+8=")</f>
        <v>#REF!</v>
      </c>
      <c r="IG90" t="e">
        <f>IF(#REF!,"AAAAAAe+f/A=",0)</f>
        <v>#REF!</v>
      </c>
      <c r="IH90" t="e">
        <f>AND(#REF!,"AAAAAAe+f/E=")</f>
        <v>#REF!</v>
      </c>
      <c r="II90" t="e">
        <f>AND(#REF!,"AAAAAAe+f/I=")</f>
        <v>#REF!</v>
      </c>
      <c r="IJ90" t="e">
        <f>AND(#REF!,"AAAAAAe+f/M=")</f>
        <v>#REF!</v>
      </c>
      <c r="IK90" t="e">
        <f>AND(#REF!,"AAAAAAe+f/Q=")</f>
        <v>#REF!</v>
      </c>
      <c r="IL90" t="e">
        <f>AND(#REF!,"AAAAAAe+f/U=")</f>
        <v>#REF!</v>
      </c>
      <c r="IM90" t="e">
        <f>AND(#REF!,"AAAAAAe+f/Y=")</f>
        <v>#REF!</v>
      </c>
      <c r="IN90" t="e">
        <f>AND(#REF!,"AAAAAAe+f/c=")</f>
        <v>#REF!</v>
      </c>
      <c r="IO90" t="e">
        <f>AND(#REF!,"AAAAAAe+f/g=")</f>
        <v>#REF!</v>
      </c>
      <c r="IP90" t="e">
        <f>AND(#REF!,"AAAAAAe+f/k=")</f>
        <v>#REF!</v>
      </c>
      <c r="IQ90" t="e">
        <f>AND(#REF!,"AAAAAAe+f/o=")</f>
        <v>#REF!</v>
      </c>
      <c r="IR90" t="e">
        <f>AND(#REF!,"AAAAAAe+f/s=")</f>
        <v>#REF!</v>
      </c>
      <c r="IS90" t="e">
        <f>AND(#REF!,"AAAAAAe+f/w=")</f>
        <v>#REF!</v>
      </c>
      <c r="IT90" t="e">
        <f>AND(#REF!,"AAAAAAe+f/0=")</f>
        <v>#REF!</v>
      </c>
      <c r="IU90" t="e">
        <f>AND(#REF!,"AAAAAAe+f/4=")</f>
        <v>#REF!</v>
      </c>
      <c r="IV90" t="e">
        <f>AND(#REF!,"AAAAAAe+f/8=")</f>
        <v>#REF!</v>
      </c>
    </row>
    <row r="91" spans="1:256" x14ac:dyDescent="0.25">
      <c r="A91" t="e">
        <f>AND(#REF!,"AAAAAG//awA=")</f>
        <v>#REF!</v>
      </c>
      <c r="B91" t="e">
        <f>AND(#REF!,"AAAAAG//awE=")</f>
        <v>#REF!</v>
      </c>
      <c r="C91" t="e">
        <f>AND(#REF!,"AAAAAG//awI=")</f>
        <v>#REF!</v>
      </c>
      <c r="D91" t="e">
        <f>AND(#REF!,"AAAAAG//awM=")</f>
        <v>#REF!</v>
      </c>
      <c r="E91" t="e">
        <f>AND(#REF!,"AAAAAG//awQ=")</f>
        <v>#REF!</v>
      </c>
      <c r="F91" t="e">
        <f>AND(#REF!,"AAAAAG//awU=")</f>
        <v>#REF!</v>
      </c>
      <c r="G91" t="e">
        <f>AND(#REF!,"AAAAAG//awY=")</f>
        <v>#REF!</v>
      </c>
      <c r="H91" t="e">
        <f>AND(#REF!,"AAAAAG//awc=")</f>
        <v>#REF!</v>
      </c>
      <c r="I91" t="e">
        <f>AND(#REF!,"AAAAAG//awg=")</f>
        <v>#REF!</v>
      </c>
      <c r="J91" t="e">
        <f>AND(#REF!,"AAAAAG//awk=")</f>
        <v>#REF!</v>
      </c>
      <c r="K91" t="e">
        <f>AND(#REF!,"AAAAAG//awo=")</f>
        <v>#REF!</v>
      </c>
      <c r="L91" t="e">
        <f>AND(#REF!,"AAAAAG//aws=")</f>
        <v>#REF!</v>
      </c>
      <c r="M91" t="e">
        <f>AND(#REF!,"AAAAAG//aww=")</f>
        <v>#REF!</v>
      </c>
      <c r="N91" t="e">
        <f>AND(#REF!,"AAAAAG//aw0=")</f>
        <v>#REF!</v>
      </c>
      <c r="O91" t="e">
        <f>AND(#REF!,"AAAAAG//aw4=")</f>
        <v>#REF!</v>
      </c>
      <c r="P91" t="e">
        <f>AND(#REF!,"AAAAAG//aw8=")</f>
        <v>#REF!</v>
      </c>
      <c r="Q91" t="e">
        <f>AND(#REF!,"AAAAAG//axA=")</f>
        <v>#REF!</v>
      </c>
      <c r="R91" t="e">
        <f>AND(#REF!,"AAAAAG//axE=")</f>
        <v>#REF!</v>
      </c>
      <c r="S91" t="e">
        <f>AND(#REF!,"AAAAAG//axI=")</f>
        <v>#REF!</v>
      </c>
      <c r="T91" t="e">
        <f>AND(#REF!,"AAAAAG//axM=")</f>
        <v>#REF!</v>
      </c>
      <c r="U91" t="e">
        <f>AND(#REF!,"AAAAAG//axQ=")</f>
        <v>#REF!</v>
      </c>
      <c r="V91" t="e">
        <f>AND(#REF!,"AAAAAG//axU=")</f>
        <v>#REF!</v>
      </c>
      <c r="W91" t="e">
        <f>AND(#REF!,"AAAAAG//axY=")</f>
        <v>#REF!</v>
      </c>
      <c r="X91" t="e">
        <f>AND(#REF!,"AAAAAG//axc=")</f>
        <v>#REF!</v>
      </c>
      <c r="Y91" t="e">
        <f>AND(#REF!,"AAAAAG//axg=")</f>
        <v>#REF!</v>
      </c>
      <c r="Z91" t="e">
        <f>AND(#REF!,"AAAAAG//axk=")</f>
        <v>#REF!</v>
      </c>
      <c r="AA91" t="e">
        <f>AND(#REF!,"AAAAAG//axo=")</f>
        <v>#REF!</v>
      </c>
      <c r="AB91" t="e">
        <f>AND(#REF!,"AAAAAG//axs=")</f>
        <v>#REF!</v>
      </c>
      <c r="AC91" t="e">
        <f>AND(#REF!,"AAAAAG//axw=")</f>
        <v>#REF!</v>
      </c>
      <c r="AD91" t="e">
        <f>AND(#REF!,"AAAAAG//ax0=")</f>
        <v>#REF!</v>
      </c>
      <c r="AE91" t="e">
        <f>AND(#REF!,"AAAAAG//ax4=")</f>
        <v>#REF!</v>
      </c>
      <c r="AF91" t="e">
        <f>AND(#REF!,"AAAAAG//ax8=")</f>
        <v>#REF!</v>
      </c>
      <c r="AG91" t="e">
        <f>AND(#REF!,"AAAAAG//ayA=")</f>
        <v>#REF!</v>
      </c>
      <c r="AH91" t="e">
        <f>AND(#REF!,"AAAAAG//ayE=")</f>
        <v>#REF!</v>
      </c>
      <c r="AI91" t="e">
        <f>AND(#REF!,"AAAAAG//ayI=")</f>
        <v>#REF!</v>
      </c>
      <c r="AJ91" t="e">
        <f>AND(#REF!,"AAAAAG//ayM=")</f>
        <v>#REF!</v>
      </c>
      <c r="AK91" t="e">
        <f>AND(#REF!,"AAAAAG//ayQ=")</f>
        <v>#REF!</v>
      </c>
      <c r="AL91" t="e">
        <f>AND(#REF!,"AAAAAG//ayU=")</f>
        <v>#REF!</v>
      </c>
      <c r="AM91" t="e">
        <f>AND(#REF!,"AAAAAG//ayY=")</f>
        <v>#REF!</v>
      </c>
      <c r="AN91" t="e">
        <f>IF(#REF!,"AAAAAG//ayc=",0)</f>
        <v>#REF!</v>
      </c>
      <c r="AO91" t="e">
        <f>AND(#REF!,"AAAAAG//ayg=")</f>
        <v>#REF!</v>
      </c>
      <c r="AP91" t="e">
        <f>AND(#REF!,"AAAAAG//ayk=")</f>
        <v>#REF!</v>
      </c>
      <c r="AQ91" t="e">
        <f>AND(#REF!,"AAAAAG//ayo=")</f>
        <v>#REF!</v>
      </c>
      <c r="AR91" t="e">
        <f>AND(#REF!,"AAAAAG//ays=")</f>
        <v>#REF!</v>
      </c>
      <c r="AS91" t="e">
        <f>AND(#REF!,"AAAAAG//ayw=")</f>
        <v>#REF!</v>
      </c>
      <c r="AT91" t="e">
        <f>AND(#REF!,"AAAAAG//ay0=")</f>
        <v>#REF!</v>
      </c>
      <c r="AU91" t="e">
        <f>AND(#REF!,"AAAAAG//ay4=")</f>
        <v>#REF!</v>
      </c>
      <c r="AV91" t="e">
        <f>AND(#REF!,"AAAAAG//ay8=")</f>
        <v>#REF!</v>
      </c>
      <c r="AW91" t="e">
        <f>AND(#REF!,"AAAAAG//azA=")</f>
        <v>#REF!</v>
      </c>
      <c r="AX91" t="e">
        <f>AND(#REF!,"AAAAAG//azE=")</f>
        <v>#REF!</v>
      </c>
      <c r="AY91" t="e">
        <f>AND(#REF!,"AAAAAG//azI=")</f>
        <v>#REF!</v>
      </c>
      <c r="AZ91" t="e">
        <f>AND(#REF!,"AAAAAG//azM=")</f>
        <v>#REF!</v>
      </c>
      <c r="BA91" t="e">
        <f>AND(#REF!,"AAAAAG//azQ=")</f>
        <v>#REF!</v>
      </c>
      <c r="BB91" t="e">
        <f>AND(#REF!,"AAAAAG//azU=")</f>
        <v>#REF!</v>
      </c>
      <c r="BC91" t="e">
        <f>AND(#REF!,"AAAAAG//azY=")</f>
        <v>#REF!</v>
      </c>
      <c r="BD91" t="e">
        <f>AND(#REF!,"AAAAAG//azc=")</f>
        <v>#REF!</v>
      </c>
      <c r="BE91" t="e">
        <f>AND(#REF!,"AAAAAG//azg=")</f>
        <v>#REF!</v>
      </c>
      <c r="BF91" t="e">
        <f>AND(#REF!,"AAAAAG//azk=")</f>
        <v>#REF!</v>
      </c>
      <c r="BG91" t="e">
        <f>AND(#REF!,"AAAAAG//azo=")</f>
        <v>#REF!</v>
      </c>
      <c r="BH91" t="e">
        <f>AND(#REF!,"AAAAAG//azs=")</f>
        <v>#REF!</v>
      </c>
      <c r="BI91" t="e">
        <f>AND(#REF!,"AAAAAG//azw=")</f>
        <v>#REF!</v>
      </c>
      <c r="BJ91" t="e">
        <f>AND(#REF!,"AAAAAG//az0=")</f>
        <v>#REF!</v>
      </c>
      <c r="BK91" t="e">
        <f>AND(#REF!,"AAAAAG//az4=")</f>
        <v>#REF!</v>
      </c>
      <c r="BL91" t="e">
        <f>AND(#REF!,"AAAAAG//az8=")</f>
        <v>#REF!</v>
      </c>
      <c r="BM91" t="e">
        <f>AND(#REF!,"AAAAAG//a0A=")</f>
        <v>#REF!</v>
      </c>
      <c r="BN91" t="e">
        <f>AND(#REF!,"AAAAAG//a0E=")</f>
        <v>#REF!</v>
      </c>
      <c r="BO91" t="e">
        <f>AND(#REF!,"AAAAAG//a0I=")</f>
        <v>#REF!</v>
      </c>
      <c r="BP91" t="e">
        <f>AND(#REF!,"AAAAAG//a0M=")</f>
        <v>#REF!</v>
      </c>
      <c r="BQ91" t="e">
        <f>AND(#REF!,"AAAAAG//a0Q=")</f>
        <v>#REF!</v>
      </c>
      <c r="BR91" t="e">
        <f>AND(#REF!,"AAAAAG//a0U=")</f>
        <v>#REF!</v>
      </c>
      <c r="BS91" t="e">
        <f>AND(#REF!,"AAAAAG//a0Y=")</f>
        <v>#REF!</v>
      </c>
      <c r="BT91" t="e">
        <f>AND(#REF!,"AAAAAG//a0c=")</f>
        <v>#REF!</v>
      </c>
      <c r="BU91" t="e">
        <f>AND(#REF!,"AAAAAG//a0g=")</f>
        <v>#REF!</v>
      </c>
      <c r="BV91" t="e">
        <f>AND(#REF!,"AAAAAG//a0k=")</f>
        <v>#REF!</v>
      </c>
      <c r="BW91" t="e">
        <f>AND(#REF!,"AAAAAG//a0o=")</f>
        <v>#REF!</v>
      </c>
      <c r="BX91" t="e">
        <f>AND(#REF!,"AAAAAG//a0s=")</f>
        <v>#REF!</v>
      </c>
      <c r="BY91" t="e">
        <f>AND(#REF!,"AAAAAG//a0w=")</f>
        <v>#REF!</v>
      </c>
      <c r="BZ91" t="e">
        <f>AND(#REF!,"AAAAAG//a00=")</f>
        <v>#REF!</v>
      </c>
      <c r="CA91" t="e">
        <f>AND(#REF!,"AAAAAG//a04=")</f>
        <v>#REF!</v>
      </c>
      <c r="CB91" t="e">
        <f>AND(#REF!,"AAAAAG//a08=")</f>
        <v>#REF!</v>
      </c>
      <c r="CC91" t="e">
        <f>AND(#REF!,"AAAAAG//a1A=")</f>
        <v>#REF!</v>
      </c>
      <c r="CD91" t="e">
        <f>AND(#REF!,"AAAAAG//a1E=")</f>
        <v>#REF!</v>
      </c>
      <c r="CE91" t="e">
        <f>AND(#REF!,"AAAAAG//a1I=")</f>
        <v>#REF!</v>
      </c>
      <c r="CF91" t="e">
        <f>AND(#REF!,"AAAAAG//a1M=")</f>
        <v>#REF!</v>
      </c>
      <c r="CG91" t="e">
        <f>AND(#REF!,"AAAAAG//a1Q=")</f>
        <v>#REF!</v>
      </c>
      <c r="CH91" t="e">
        <f>AND(#REF!,"AAAAAG//a1U=")</f>
        <v>#REF!</v>
      </c>
      <c r="CI91" t="e">
        <f>AND(#REF!,"AAAAAG//a1Y=")</f>
        <v>#REF!</v>
      </c>
      <c r="CJ91" t="e">
        <f>AND(#REF!,"AAAAAG//a1c=")</f>
        <v>#REF!</v>
      </c>
      <c r="CK91" t="e">
        <f>AND(#REF!,"AAAAAG//a1g=")</f>
        <v>#REF!</v>
      </c>
      <c r="CL91" t="e">
        <f>AND(#REF!,"AAAAAG//a1k=")</f>
        <v>#REF!</v>
      </c>
      <c r="CM91" t="e">
        <f>AND(#REF!,"AAAAAG//a1o=")</f>
        <v>#REF!</v>
      </c>
      <c r="CN91" t="e">
        <f>AND(#REF!,"AAAAAG//a1s=")</f>
        <v>#REF!</v>
      </c>
      <c r="CO91" t="e">
        <f>IF(#REF!,"AAAAAG//a1w=",0)</f>
        <v>#REF!</v>
      </c>
      <c r="CP91" t="e">
        <f>IF(#REF!,"AAAAAG//a10=",0)</f>
        <v>#REF!</v>
      </c>
      <c r="CQ91" t="e">
        <f>IF(#REF!,"AAAAAG//a14=",0)</f>
        <v>#REF!</v>
      </c>
      <c r="CR91" t="e">
        <f>IF(#REF!,"AAAAAG//a18=",0)</f>
        <v>#REF!</v>
      </c>
      <c r="CS91" t="e">
        <f>IF(#REF!,"AAAAAG//a2A=",0)</f>
        <v>#REF!</v>
      </c>
      <c r="CT91" t="e">
        <f>IF(#REF!,"AAAAAG//a2E=",0)</f>
        <v>#REF!</v>
      </c>
      <c r="CU91" t="e">
        <f>IF(#REF!,"AAAAAG//a2I=",0)</f>
        <v>#REF!</v>
      </c>
      <c r="CV91" t="e">
        <f>IF(#REF!,"AAAAAG//a2M=",0)</f>
        <v>#REF!</v>
      </c>
      <c r="CW91" t="e">
        <f>IF(#REF!,"AAAAAG//a2Q=",0)</f>
        <v>#REF!</v>
      </c>
      <c r="CX91" t="e">
        <f>IF(#REF!,"AAAAAG//a2U=",0)</f>
        <v>#REF!</v>
      </c>
      <c r="CY91" t="e">
        <f>IF(#REF!,"AAAAAG//a2Y=",0)</f>
        <v>#REF!</v>
      </c>
      <c r="CZ91" t="e">
        <f>IF(#REF!,"AAAAAG//a2c=",0)</f>
        <v>#REF!</v>
      </c>
      <c r="DA91" t="e">
        <f>IF(#REF!,"AAAAAG//a2g=",0)</f>
        <v>#REF!</v>
      </c>
      <c r="DB91" t="e">
        <f>IF(#REF!,"AAAAAG//a2k=",0)</f>
        <v>#REF!</v>
      </c>
      <c r="DC91" t="e">
        <f>IF(#REF!,"AAAAAG//a2o=",0)</f>
        <v>#REF!</v>
      </c>
      <c r="DD91" t="e">
        <f>IF(#REF!,"AAAAAG//a2s=",0)</f>
        <v>#REF!</v>
      </c>
      <c r="DE91" t="e">
        <f>IF(#REF!,"AAAAAG//a2w=",0)</f>
        <v>#REF!</v>
      </c>
      <c r="DF91" t="e">
        <f>IF(#REF!,"AAAAAG//a20=",0)</f>
        <v>#REF!</v>
      </c>
      <c r="DG91" t="e">
        <f>IF(#REF!,"AAAAAG//a24=",0)</f>
        <v>#REF!</v>
      </c>
      <c r="DH91" t="e">
        <f>IF(#REF!,"AAAAAG//a28=",0)</f>
        <v>#REF!</v>
      </c>
      <c r="DI91" t="e">
        <f>IF(#REF!,"AAAAAG//a3A=",0)</f>
        <v>#REF!</v>
      </c>
      <c r="DJ91" t="e">
        <f>IF(#REF!,"AAAAAG//a3E=",0)</f>
        <v>#REF!</v>
      </c>
      <c r="DK91" t="e">
        <f>IF(#REF!,"AAAAAG//a3I=",0)</f>
        <v>#REF!</v>
      </c>
      <c r="DL91" t="e">
        <f>IF(#REF!,"AAAAAG//a3M=",0)</f>
        <v>#REF!</v>
      </c>
      <c r="DM91" t="e">
        <f>IF(#REF!,"AAAAAG//a3Q=",0)</f>
        <v>#REF!</v>
      </c>
      <c r="DN91" t="e">
        <f>IF(#REF!,"AAAAAG//a3U=",0)</f>
        <v>#REF!</v>
      </c>
      <c r="DO91" t="e">
        <f>IF(#REF!,"AAAAAG//a3Y=",0)</f>
        <v>#REF!</v>
      </c>
      <c r="DP91" t="e">
        <f>IF(#REF!,"AAAAAG//a3c=",0)</f>
        <v>#REF!</v>
      </c>
      <c r="DQ91" t="e">
        <f>IF(#REF!,"AAAAAG//a3g=",0)</f>
        <v>#REF!</v>
      </c>
      <c r="DR91" t="e">
        <f>IF(#REF!,"AAAAAG//a3k=",0)</f>
        <v>#REF!</v>
      </c>
      <c r="DS91" t="e">
        <f>IF(#REF!,"AAAAAG//a3o=",0)</f>
        <v>#REF!</v>
      </c>
      <c r="DT91" t="e">
        <f>IF(#REF!,"AAAAAG//a3s=",0)</f>
        <v>#REF!</v>
      </c>
      <c r="DU91" t="e">
        <f>IF(#REF!,"AAAAAG//a3w=",0)</f>
        <v>#REF!</v>
      </c>
      <c r="DV91" t="e">
        <f>IF(#REF!,"AAAAAG//a30=",0)</f>
        <v>#REF!</v>
      </c>
      <c r="DW91" t="e">
        <f>IF(#REF!,"AAAAAG//a34=",0)</f>
        <v>#REF!</v>
      </c>
      <c r="DX91" t="e">
        <f>IF(#REF!,"AAAAAG//a38=",0)</f>
        <v>#REF!</v>
      </c>
      <c r="DY91" t="e">
        <f>IF(#REF!,"AAAAAG//a4A=",0)</f>
        <v>#REF!</v>
      </c>
      <c r="DZ91" t="e">
        <f>IF(#REF!,"AAAAAG//a4E=",0)</f>
        <v>#REF!</v>
      </c>
      <c r="EA91" t="e">
        <f>IF(#REF!,"AAAAAG//a4I=",0)</f>
        <v>#REF!</v>
      </c>
      <c r="EB91" t="e">
        <f>IF(#REF!,"AAAAAG//a4M=",0)</f>
        <v>#REF!</v>
      </c>
      <c r="EC91" t="e">
        <f>IF(#REF!,"AAAAAG//a4Q=",0)</f>
        <v>#REF!</v>
      </c>
      <c r="ED91" t="e">
        <f>IF(#REF!,"AAAAAG//a4U=",0)</f>
        <v>#REF!</v>
      </c>
      <c r="EE91" t="e">
        <f>IF(#REF!,"AAAAAG//a4Y=",0)</f>
        <v>#REF!</v>
      </c>
      <c r="EF91" t="e">
        <f>IF(#REF!,"AAAAAG//a4c=",0)</f>
        <v>#REF!</v>
      </c>
      <c r="EG91" t="e">
        <f>IF(#REF!,"AAAAAG//a4g=",0)</f>
        <v>#REF!</v>
      </c>
      <c r="EH91" t="e">
        <f>IF(#REF!,"AAAAAG//a4k=",0)</f>
        <v>#REF!</v>
      </c>
      <c r="EI91" t="e">
        <f>IF(#REF!,"AAAAAG//a4o=",0)</f>
        <v>#REF!</v>
      </c>
      <c r="EJ91" t="e">
        <f>IF(#REF!,"AAAAAG//a4s=",0)</f>
        <v>#REF!</v>
      </c>
      <c r="EK91" t="e">
        <f>IF(#REF!,"AAAAAG//a4w=",0)</f>
        <v>#REF!</v>
      </c>
      <c r="EL91" t="e">
        <f>IF(#REF!,"AAAAAG//a40=",0)</f>
        <v>#REF!</v>
      </c>
      <c r="EM91" t="e">
        <f>IF(#REF!,"AAAAAG//a44=",0)</f>
        <v>#REF!</v>
      </c>
      <c r="EN91" t="e">
        <f>IF(#REF!,"AAAAAG//a48=",0)</f>
        <v>#REF!</v>
      </c>
      <c r="EO91" t="e">
        <f>IF(#REF!,"AAAAAG//a5A=",0)</f>
        <v>#REF!</v>
      </c>
      <c r="EP91" t="e">
        <f>IF(#REF!,"AAAAAG//a5E=",0)</f>
        <v>#REF!</v>
      </c>
      <c r="EQ91">
        <f>IF(Sheet2!1:1,"AAAAAG//a5I=",0)</f>
        <v>0</v>
      </c>
      <c r="ER91" t="e">
        <f>AND(Sheet2!A1,"AAAAAG//a5M=")</f>
        <v>#VALUE!</v>
      </c>
      <c r="ES91">
        <f>IF(Sheet2!A:A,"AAAAAG//a5Q=",0)</f>
        <v>0</v>
      </c>
      <c r="ET91">
        <f>IF(Sheet3!1:1,"AAAAAG//a5U=",0)</f>
        <v>0</v>
      </c>
      <c r="EU91" t="e">
        <f>AND(Sheet3!A1,"AAAAAG//a5Y=")</f>
        <v>#VALUE!</v>
      </c>
      <c r="EV91">
        <f>IF(Sheet3!A:A,"AAAAAG//a5c=",0)</f>
        <v>0</v>
      </c>
      <c r="EW91" s="2" t="s">
        <v>177</v>
      </c>
      <c r="EX91" s="3" t="s">
        <v>178</v>
      </c>
      <c r="EY91" s="1" t="s">
        <v>179</v>
      </c>
      <c r="EZ91" t="e">
        <f>IF("N",'2015'!_xlnm.Print_Titles,"AAAAAG//a5s=")</f>
        <v>#VALUE!</v>
      </c>
      <c r="FA91" t="e">
        <f>IF("N",[0]!_xlnm.Print_Titles,"AAAAAG//a5w=")</f>
        <v>#VALUE!</v>
      </c>
    </row>
    <row r="92" spans="1:256" x14ac:dyDescent="0.25">
      <c r="A92">
        <f>IF('2015'!19:19,"AAAAAHP3/wA=",0)</f>
        <v>0</v>
      </c>
      <c r="B92" t="e">
        <f>AND('2015'!A19,"AAAAAHP3/wE=")</f>
        <v>#VALUE!</v>
      </c>
      <c r="C92" t="e">
        <f>AND('2015'!B19,"AAAAAHP3/wI=")</f>
        <v>#VALUE!</v>
      </c>
      <c r="D92" t="e">
        <f>AND('2015'!C19,"AAAAAHP3/wM=")</f>
        <v>#VALUE!</v>
      </c>
      <c r="E92" t="e">
        <f>AND('2015'!D19,"AAAAAHP3/wQ=")</f>
        <v>#VALUE!</v>
      </c>
      <c r="F92" t="e">
        <f>AND('2015'!E19,"AAAAAHP3/wU=")</f>
        <v>#VALUE!</v>
      </c>
      <c r="G92" t="e">
        <f>AND('2015'!F19,"AAAAAHP3/wY=")</f>
        <v>#VALUE!</v>
      </c>
      <c r="H92" t="e">
        <f>AND('2015'!G19,"AAAAAHP3/wc=")</f>
        <v>#VALUE!</v>
      </c>
      <c r="I92" t="e">
        <f>AND('2015'!H19,"AAAAAHP3/wg=")</f>
        <v>#VALUE!</v>
      </c>
      <c r="J92" t="e">
        <f>AND('2015'!I19,"AAAAAHP3/wk=")</f>
        <v>#VALUE!</v>
      </c>
      <c r="K92" t="e">
        <f>AND('2015'!J19,"AAAAAHP3/wo=")</f>
        <v>#VALUE!</v>
      </c>
      <c r="L92" t="e">
        <f>AND('2015'!K19,"AAAAAHP3/ws=")</f>
        <v>#VALUE!</v>
      </c>
      <c r="M92" t="e">
        <f>AND('2015'!L19,"AAAAAHP3/ww=")</f>
        <v>#VALUE!</v>
      </c>
      <c r="N92" t="e">
        <f>AND('2015'!M19,"AAAAAHP3/w0=")</f>
        <v>#VALUE!</v>
      </c>
      <c r="O92" t="e">
        <f>AND('2015'!N19,"AAAAAHP3/w4=")</f>
        <v>#VALUE!</v>
      </c>
      <c r="P92" t="e">
        <f>AND('2015'!O19,"AAAAAHP3/w8=")</f>
        <v>#VALUE!</v>
      </c>
      <c r="Q92" t="e">
        <f>AND('2015'!P19,"AAAAAHP3/xA=")</f>
        <v>#VALUE!</v>
      </c>
      <c r="R92" t="e">
        <f>AND('2015'!Q19,"AAAAAHP3/xE=")</f>
        <v>#VALUE!</v>
      </c>
      <c r="S92" t="e">
        <f>AND('2015'!R19,"AAAAAHP3/xI=")</f>
        <v>#VALUE!</v>
      </c>
      <c r="T92" t="e">
        <f>AND('2015'!S19,"AAAAAHP3/xM=")</f>
        <v>#VALUE!</v>
      </c>
      <c r="U92" t="e">
        <f>AND('2015'!T19,"AAAAAHP3/xQ=")</f>
        <v>#VALUE!</v>
      </c>
      <c r="V92" t="e">
        <f>AND('2015'!U19,"AAAAAHP3/xU=")</f>
        <v>#VALUE!</v>
      </c>
      <c r="W92" t="e">
        <f>AND('2015'!V19,"AAAAAHP3/xY=")</f>
        <v>#VALUE!</v>
      </c>
      <c r="X92" t="e">
        <f>AND('2015'!W19,"AAAAAHP3/xc=")</f>
        <v>#VALUE!</v>
      </c>
      <c r="Y92" t="e">
        <f>AND('2015'!X19,"AAAAAHP3/xg=")</f>
        <v>#VALUE!</v>
      </c>
      <c r="Z92" t="e">
        <f>AND('2015'!Y19,"AAAAAHP3/xk=")</f>
        <v>#VALUE!</v>
      </c>
      <c r="AA92" t="e">
        <f>AND('2015'!Z19,"AAAAAHP3/xo=")</f>
        <v>#VALUE!</v>
      </c>
      <c r="AB92" t="e">
        <f>AND('2015'!AA19,"AAAAAHP3/xs=")</f>
        <v>#VALUE!</v>
      </c>
      <c r="AC92" t="e">
        <f>AND('2015'!AB19,"AAAAAHP3/xw=")</f>
        <v>#VALUE!</v>
      </c>
      <c r="AD92" t="e">
        <f>AND('2015'!AC19,"AAAAAHP3/x0=")</f>
        <v>#VALUE!</v>
      </c>
      <c r="AE92" t="e">
        <f>AND('2015'!AD19,"AAAAAHP3/x4=")</f>
        <v>#VALUE!</v>
      </c>
      <c r="AF92" t="e">
        <f>AND('2015'!AE19,"AAAAAHP3/x8=")</f>
        <v>#VALUE!</v>
      </c>
      <c r="AG92" t="e">
        <f>AND('2015'!AF19,"AAAAAHP3/yA=")</f>
        <v>#VALUE!</v>
      </c>
      <c r="AH92" t="e">
        <f>AND('2015'!AG19,"AAAAAHP3/yE=")</f>
        <v>#VALUE!</v>
      </c>
      <c r="AI92" t="e">
        <f>AND('2015'!AH19,"AAAAAHP3/yI=")</f>
        <v>#VALUE!</v>
      </c>
      <c r="AJ92" t="e">
        <f>AND('2015'!AI19,"AAAAAHP3/yM=")</f>
        <v>#VALUE!</v>
      </c>
      <c r="AK92" t="e">
        <f>AND('2015'!AJ19,"AAAAAHP3/yQ=")</f>
        <v>#VALUE!</v>
      </c>
      <c r="AL92" t="e">
        <f>AND('2015'!AK19,"AAAAAHP3/yU=")</f>
        <v>#VALUE!</v>
      </c>
      <c r="AM92" t="e">
        <f>AND('2015'!AL19,"AAAAAHP3/yY=")</f>
        <v>#VALUE!</v>
      </c>
      <c r="AN92" t="e">
        <f>AND('2015'!AM19,"AAAAAHP3/yc=")</f>
        <v>#VALUE!</v>
      </c>
      <c r="AO92" t="e">
        <f>AND('2015'!AN19,"AAAAAHP3/yg=")</f>
        <v>#VALUE!</v>
      </c>
      <c r="AP92" t="e">
        <f>AND('2015'!AO19,"AAAAAHP3/yk=")</f>
        <v>#VALUE!</v>
      </c>
      <c r="AQ92" t="e">
        <f>AND('2015'!AP19,"AAAAAHP3/yo=")</f>
        <v>#VALUE!</v>
      </c>
      <c r="AR92" t="e">
        <f>AND('2015'!AQ19,"AAAAAHP3/ys=")</f>
        <v>#VALUE!</v>
      </c>
      <c r="AS92" t="e">
        <f>AND('2015'!AR19,"AAAAAHP3/yw=")</f>
        <v>#VALUE!</v>
      </c>
      <c r="AT92" t="e">
        <f>AND('2015'!AS19,"AAAAAHP3/y0=")</f>
        <v>#VALUE!</v>
      </c>
      <c r="AU92" t="e">
        <f>AND('2015'!AT19,"AAAAAHP3/y4=")</f>
        <v>#VALUE!</v>
      </c>
      <c r="AV92" t="e">
        <f>AND('2015'!#REF!,"AAAAAHP3/y8=")</f>
        <v>#REF!</v>
      </c>
      <c r="AW92" t="e">
        <f>AND('2015'!AU19,"AAAAAHP3/zA=")</f>
        <v>#VALUE!</v>
      </c>
      <c r="AX92" t="e">
        <f>AND('2015'!AV19,"AAAAAHP3/zE=")</f>
        <v>#VALUE!</v>
      </c>
      <c r="AY92" t="e">
        <f>AND('2015'!AW19,"AAAAAHP3/zI=")</f>
        <v>#VALUE!</v>
      </c>
      <c r="AZ92" t="e">
        <f>AND('2015'!AX19,"AAAAAHP3/zM=")</f>
        <v>#VALUE!</v>
      </c>
      <c r="BA92" t="e">
        <f>AND('2015'!AY19,"AAAAAHP3/zQ=")</f>
        <v>#VALUE!</v>
      </c>
      <c r="BB92" t="e">
        <f>AND('2015'!AZ19,"AAAAAHP3/zU=")</f>
        <v>#VALUE!</v>
      </c>
      <c r="BC92" t="e">
        <f>AND('2015'!BA19,"AAAAAHP3/zY=")</f>
        <v>#VALUE!</v>
      </c>
      <c r="BD92" t="e">
        <f>AND('2015'!BB19,"AAAAAHP3/zc=")</f>
        <v>#VALUE!</v>
      </c>
      <c r="BE92" t="e">
        <f>AND('2015'!BC19,"AAAAAHP3/zg=")</f>
        <v>#VALUE!</v>
      </c>
      <c r="BF92" t="e">
        <f>AND('2015'!BD19,"AAAAAHP3/zk=")</f>
        <v>#VALUE!</v>
      </c>
      <c r="BG92" t="e">
        <f>AND('2015'!BE19,"AAAAAHP3/zo=")</f>
        <v>#VALUE!</v>
      </c>
      <c r="BH92" t="e">
        <f>AND('2015'!BF19,"AAAAAHP3/zs=")</f>
        <v>#VALUE!</v>
      </c>
      <c r="BI92" t="e">
        <f>AND('2015'!BG19,"AAAAAHP3/zw=")</f>
        <v>#VALUE!</v>
      </c>
      <c r="BJ92" t="e">
        <f>AND('2015'!BH19,"AAAAAHP3/z0=")</f>
        <v>#VALUE!</v>
      </c>
      <c r="BK92" t="e">
        <f>AND('2015'!BI19,"AAAAAHP3/z4=")</f>
        <v>#VALUE!</v>
      </c>
      <c r="BL92" t="e">
        <f>AND('2015'!BJ19,"AAAAAHP3/z8=")</f>
        <v>#VALUE!</v>
      </c>
      <c r="BM92" t="e">
        <f>AND('2015'!BK19,"AAAAAHP3/0A=")</f>
        <v>#VALUE!</v>
      </c>
      <c r="BN92" t="e">
        <f>AND('2015'!BL19,"AAAAAHP3/0E=")</f>
        <v>#VALUE!</v>
      </c>
      <c r="BO92" t="e">
        <f>AND('2015'!BM19,"AAAAAHP3/0I=")</f>
        <v>#VALUE!</v>
      </c>
      <c r="BP92" t="e">
        <f>AND('2015'!BY19,"AAAAAHP3/0M=")</f>
        <v>#VALUE!</v>
      </c>
      <c r="BQ92" t="e">
        <f>AND('2015'!A21,"AAAAAHP3/0Q=")</f>
        <v>#VALUE!</v>
      </c>
      <c r="BR92" t="e">
        <f>AND('2015'!B25,"AAAAAHP3/0U=")</f>
        <v>#VALUE!</v>
      </c>
      <c r="BS92" t="e">
        <f>AND('2015'!B31,"AAAAAHP3/0Y=")</f>
        <v>#VALUE!</v>
      </c>
      <c r="BT92">
        <f>IF('2015'!32:32,"AAAAAHP3/0c=",0)</f>
        <v>0</v>
      </c>
      <c r="BU92" t="e">
        <f>AND('2015'!A32,"AAAAAHP3/0g=")</f>
        <v>#VALUE!</v>
      </c>
      <c r="BV92" t="e">
        <f>AND('2015'!B32,"AAAAAHP3/0k=")</f>
        <v>#VALUE!</v>
      </c>
      <c r="BW92" t="e">
        <f>AND('2015'!C32,"AAAAAHP3/0o=")</f>
        <v>#VALUE!</v>
      </c>
      <c r="BX92" t="e">
        <f>AND('2015'!D32,"AAAAAHP3/0s=")</f>
        <v>#VALUE!</v>
      </c>
      <c r="BY92" t="e">
        <f>AND('2015'!E32,"AAAAAHP3/0w=")</f>
        <v>#VALUE!</v>
      </c>
      <c r="BZ92" t="e">
        <f>AND('2015'!F32,"AAAAAHP3/00=")</f>
        <v>#VALUE!</v>
      </c>
      <c r="CA92" t="e">
        <f>AND('2015'!G32,"AAAAAHP3/04=")</f>
        <v>#VALUE!</v>
      </c>
      <c r="CB92" t="e">
        <f>AND('2015'!H32,"AAAAAHP3/08=")</f>
        <v>#VALUE!</v>
      </c>
      <c r="CC92" t="e">
        <f>AND('2015'!I32,"AAAAAHP3/1A=")</f>
        <v>#VALUE!</v>
      </c>
      <c r="CD92" t="e">
        <f>AND('2015'!J32,"AAAAAHP3/1E=")</f>
        <v>#VALUE!</v>
      </c>
      <c r="CE92" t="e">
        <f>AND('2015'!K32,"AAAAAHP3/1I=")</f>
        <v>#VALUE!</v>
      </c>
      <c r="CF92" t="e">
        <f>AND('2015'!L32,"AAAAAHP3/1M=")</f>
        <v>#VALUE!</v>
      </c>
      <c r="CG92" t="e">
        <f>AND('2015'!M32,"AAAAAHP3/1Q=")</f>
        <v>#VALUE!</v>
      </c>
      <c r="CH92" t="e">
        <f>AND('2015'!N32,"AAAAAHP3/1U=")</f>
        <v>#VALUE!</v>
      </c>
      <c r="CI92" t="e">
        <f>AND('2015'!O32,"AAAAAHP3/1Y=")</f>
        <v>#VALUE!</v>
      </c>
      <c r="CJ92" t="e">
        <f>AND('2015'!P32,"AAAAAHP3/1c=")</f>
        <v>#VALUE!</v>
      </c>
      <c r="CK92" t="e">
        <f>AND('2015'!Q32,"AAAAAHP3/1g=")</f>
        <v>#VALUE!</v>
      </c>
      <c r="CL92" t="e">
        <f>AND('2015'!R32,"AAAAAHP3/1k=")</f>
        <v>#VALUE!</v>
      </c>
      <c r="CM92" t="e">
        <f>AND('2015'!S32,"AAAAAHP3/1o=")</f>
        <v>#VALUE!</v>
      </c>
      <c r="CN92" t="e">
        <f>AND('2015'!T32,"AAAAAHP3/1s=")</f>
        <v>#VALUE!</v>
      </c>
      <c r="CO92" t="e">
        <f>AND('2015'!U32,"AAAAAHP3/1w=")</f>
        <v>#VALUE!</v>
      </c>
      <c r="CP92" t="e">
        <f>AND('2015'!V32,"AAAAAHP3/10=")</f>
        <v>#VALUE!</v>
      </c>
      <c r="CQ92" t="e">
        <f>AND('2015'!W32,"AAAAAHP3/14=")</f>
        <v>#VALUE!</v>
      </c>
      <c r="CR92" t="e">
        <f>AND('2015'!X32,"AAAAAHP3/18=")</f>
        <v>#VALUE!</v>
      </c>
      <c r="CS92" t="e">
        <f>AND('2015'!Y32,"AAAAAHP3/2A=")</f>
        <v>#VALUE!</v>
      </c>
      <c r="CT92" t="e">
        <f>AND('2015'!Z32,"AAAAAHP3/2E=")</f>
        <v>#VALUE!</v>
      </c>
      <c r="CU92" t="e">
        <f>AND('2015'!AA32,"AAAAAHP3/2I=")</f>
        <v>#VALUE!</v>
      </c>
      <c r="CV92" t="e">
        <f>AND('2015'!AB32,"AAAAAHP3/2M=")</f>
        <v>#VALUE!</v>
      </c>
      <c r="CW92" t="e">
        <f>AND('2015'!AC32,"AAAAAHP3/2Q=")</f>
        <v>#VALUE!</v>
      </c>
      <c r="CX92" t="e">
        <f>AND('2015'!AD32,"AAAAAHP3/2U=")</f>
        <v>#VALUE!</v>
      </c>
      <c r="CY92" t="e">
        <f>AND('2015'!AE32,"AAAAAHP3/2Y=")</f>
        <v>#VALUE!</v>
      </c>
      <c r="CZ92" t="e">
        <f>AND('2015'!AF32,"AAAAAHP3/2c=")</f>
        <v>#VALUE!</v>
      </c>
      <c r="DA92" t="e">
        <f>AND('2015'!AG32,"AAAAAHP3/2g=")</f>
        <v>#VALUE!</v>
      </c>
      <c r="DB92" t="e">
        <f>AND('2015'!AH32,"AAAAAHP3/2k=")</f>
        <v>#VALUE!</v>
      </c>
      <c r="DC92" t="e">
        <f>AND('2015'!AI32,"AAAAAHP3/2o=")</f>
        <v>#VALUE!</v>
      </c>
      <c r="DD92" t="e">
        <f>AND('2015'!AJ32,"AAAAAHP3/2s=")</f>
        <v>#VALUE!</v>
      </c>
      <c r="DE92" t="e">
        <f>AND('2015'!AK32,"AAAAAHP3/2w=")</f>
        <v>#VALUE!</v>
      </c>
      <c r="DF92" t="e">
        <f>AND('2015'!AL32,"AAAAAHP3/20=")</f>
        <v>#VALUE!</v>
      </c>
      <c r="DG92" t="e">
        <f>AND('2015'!AM32,"AAAAAHP3/24=")</f>
        <v>#VALUE!</v>
      </c>
      <c r="DH92" t="e">
        <f>AND('2015'!AN32,"AAAAAHP3/28=")</f>
        <v>#VALUE!</v>
      </c>
      <c r="DI92" t="e">
        <f>AND('2015'!AO32,"AAAAAHP3/3A=")</f>
        <v>#VALUE!</v>
      </c>
      <c r="DJ92" t="e">
        <f>AND('2015'!AP32,"AAAAAHP3/3E=")</f>
        <v>#VALUE!</v>
      </c>
      <c r="DK92" t="e">
        <f>AND('2015'!AQ32,"AAAAAHP3/3I=")</f>
        <v>#VALUE!</v>
      </c>
      <c r="DL92" t="e">
        <f>AND('2015'!AR32,"AAAAAHP3/3M=")</f>
        <v>#VALUE!</v>
      </c>
      <c r="DM92" t="e">
        <f>AND('2015'!AS32,"AAAAAHP3/3Q=")</f>
        <v>#VALUE!</v>
      </c>
      <c r="DN92" t="e">
        <f>AND('2015'!AT32,"AAAAAHP3/3U=")</f>
        <v>#VALUE!</v>
      </c>
      <c r="DO92" t="e">
        <f>AND('2015'!#REF!,"AAAAAHP3/3Y=")</f>
        <v>#REF!</v>
      </c>
      <c r="DP92" t="e">
        <f>AND('2015'!AU32,"AAAAAHP3/3c=")</f>
        <v>#VALUE!</v>
      </c>
      <c r="DQ92" t="e">
        <f>AND('2015'!AV32,"AAAAAHP3/3g=")</f>
        <v>#VALUE!</v>
      </c>
      <c r="DR92" t="e">
        <f>AND('2015'!AW32,"AAAAAHP3/3k=")</f>
        <v>#VALUE!</v>
      </c>
      <c r="DS92" t="e">
        <f>AND('2015'!AX32,"AAAAAHP3/3o=")</f>
        <v>#VALUE!</v>
      </c>
      <c r="DT92" t="e">
        <f>AND('2015'!AY32,"AAAAAHP3/3s=")</f>
        <v>#VALUE!</v>
      </c>
      <c r="DU92" t="e">
        <f>AND('2015'!AZ32,"AAAAAHP3/3w=")</f>
        <v>#VALUE!</v>
      </c>
      <c r="DV92" t="e">
        <f>AND('2015'!BA32,"AAAAAHP3/30=")</f>
        <v>#VALUE!</v>
      </c>
      <c r="DW92" t="e">
        <f>AND('2015'!BB32,"AAAAAHP3/34=")</f>
        <v>#VALUE!</v>
      </c>
      <c r="DX92" t="e">
        <f>AND('2015'!BC32,"AAAAAHP3/38=")</f>
        <v>#VALUE!</v>
      </c>
      <c r="DY92" t="e">
        <f>AND('2015'!BD32,"AAAAAHP3/4A=")</f>
        <v>#VALUE!</v>
      </c>
      <c r="DZ92" t="e">
        <f>AND('2015'!BE32,"AAAAAHP3/4E=")</f>
        <v>#VALUE!</v>
      </c>
      <c r="EA92" t="e">
        <f>AND('2015'!BF32,"AAAAAHP3/4I=")</f>
        <v>#VALUE!</v>
      </c>
      <c r="EB92" t="e">
        <f>AND('2015'!BG32,"AAAAAHP3/4M=")</f>
        <v>#VALUE!</v>
      </c>
      <c r="EC92" t="e">
        <f>AND('2015'!BH32,"AAAAAHP3/4Q=")</f>
        <v>#VALUE!</v>
      </c>
      <c r="ED92" t="e">
        <f>AND('2015'!BI32,"AAAAAHP3/4U=")</f>
        <v>#VALUE!</v>
      </c>
      <c r="EE92" t="e">
        <f>AND('2015'!BJ32,"AAAAAHP3/4Y=")</f>
        <v>#VALUE!</v>
      </c>
      <c r="EF92" t="e">
        <f>AND('2015'!BK32,"AAAAAHP3/4c=")</f>
        <v>#VALUE!</v>
      </c>
      <c r="EG92" t="e">
        <f>AND('2015'!BL32,"AAAAAHP3/4g=")</f>
        <v>#VALUE!</v>
      </c>
      <c r="EH92" t="e">
        <f>AND('2015'!BM32,"AAAAAHP3/4k=")</f>
        <v>#VALUE!</v>
      </c>
      <c r="EI92" t="e">
        <f>AND('2015'!BY32,"AAAAAHP3/4o=")</f>
        <v>#VALUE!</v>
      </c>
      <c r="EJ92" t="e">
        <f>AND('2015'!B185,"AAAAAHP3/4s=")</f>
        <v>#VALUE!</v>
      </c>
      <c r="EK92" t="e">
        <f>AND('2015'!B186,"AAAAAHP3/4w=")</f>
        <v>#VALUE!</v>
      </c>
      <c r="EL92" t="e">
        <f>AND('2015'!B188,"AAAAAHP3/40=")</f>
        <v>#VALUE!</v>
      </c>
      <c r="EM92">
        <f>IF('2015'!33:33,"AAAAAHP3/44=",0)</f>
        <v>0</v>
      </c>
      <c r="EN92" t="e">
        <f>AND('2015'!A33,"AAAAAHP3/48=")</f>
        <v>#VALUE!</v>
      </c>
      <c r="EO92" t="e">
        <f>AND('2015'!B33,"AAAAAHP3/5A=")</f>
        <v>#VALUE!</v>
      </c>
      <c r="EP92" t="e">
        <f>AND('2015'!C33,"AAAAAHP3/5E=")</f>
        <v>#VALUE!</v>
      </c>
      <c r="EQ92" t="e">
        <f>AND('2015'!D33,"AAAAAHP3/5I=")</f>
        <v>#VALUE!</v>
      </c>
      <c r="ER92" t="e">
        <f>AND('2015'!E33,"AAAAAHP3/5M=")</f>
        <v>#VALUE!</v>
      </c>
      <c r="ES92" t="e">
        <f>AND('2015'!F33,"AAAAAHP3/5Q=")</f>
        <v>#VALUE!</v>
      </c>
      <c r="ET92" t="e">
        <f>AND('2015'!G33,"AAAAAHP3/5U=")</f>
        <v>#VALUE!</v>
      </c>
      <c r="EU92" t="e">
        <f>AND('2015'!H33,"AAAAAHP3/5Y=")</f>
        <v>#VALUE!</v>
      </c>
      <c r="EV92" t="e">
        <f>AND('2015'!I33,"AAAAAHP3/5c=")</f>
        <v>#VALUE!</v>
      </c>
      <c r="EW92" t="e">
        <f>AND('2015'!J33,"AAAAAHP3/5g=")</f>
        <v>#VALUE!</v>
      </c>
      <c r="EX92" t="e">
        <f>AND('2015'!K33,"AAAAAHP3/5k=")</f>
        <v>#VALUE!</v>
      </c>
      <c r="EY92" t="e">
        <f>AND('2015'!L33,"AAAAAHP3/5o=")</f>
        <v>#VALUE!</v>
      </c>
      <c r="EZ92" t="e">
        <f>AND('2015'!M33,"AAAAAHP3/5s=")</f>
        <v>#VALUE!</v>
      </c>
      <c r="FA92" t="e">
        <f>AND('2015'!N33,"AAAAAHP3/5w=")</f>
        <v>#VALUE!</v>
      </c>
      <c r="FB92" t="e">
        <f>AND('2015'!O33,"AAAAAHP3/50=")</f>
        <v>#VALUE!</v>
      </c>
      <c r="FC92" t="e">
        <f>AND('2015'!P33,"AAAAAHP3/54=")</f>
        <v>#VALUE!</v>
      </c>
      <c r="FD92" t="e">
        <f>AND('2015'!Q33,"AAAAAHP3/58=")</f>
        <v>#VALUE!</v>
      </c>
      <c r="FE92" t="e">
        <f>AND('2015'!R33,"AAAAAHP3/6A=")</f>
        <v>#VALUE!</v>
      </c>
      <c r="FF92" t="e">
        <f>AND('2015'!S33,"AAAAAHP3/6E=")</f>
        <v>#VALUE!</v>
      </c>
      <c r="FG92" t="e">
        <f>AND('2015'!T33,"AAAAAHP3/6I=")</f>
        <v>#VALUE!</v>
      </c>
      <c r="FH92" t="e">
        <f>AND('2015'!U33,"AAAAAHP3/6M=")</f>
        <v>#VALUE!</v>
      </c>
      <c r="FI92" t="e">
        <f>AND('2015'!V33,"AAAAAHP3/6Q=")</f>
        <v>#VALUE!</v>
      </c>
      <c r="FJ92" t="e">
        <f>AND('2015'!W33,"AAAAAHP3/6U=")</f>
        <v>#VALUE!</v>
      </c>
      <c r="FK92" t="e">
        <f>AND('2015'!X33,"AAAAAHP3/6Y=")</f>
        <v>#VALUE!</v>
      </c>
      <c r="FL92" t="e">
        <f>AND('2015'!Y33,"AAAAAHP3/6c=")</f>
        <v>#VALUE!</v>
      </c>
      <c r="FM92" t="e">
        <f>AND('2015'!Z33,"AAAAAHP3/6g=")</f>
        <v>#VALUE!</v>
      </c>
      <c r="FN92" t="e">
        <f>AND('2015'!AA33,"AAAAAHP3/6k=")</f>
        <v>#VALUE!</v>
      </c>
      <c r="FO92" t="e">
        <f>AND('2015'!AB33,"AAAAAHP3/6o=")</f>
        <v>#VALUE!</v>
      </c>
      <c r="FP92" t="e">
        <f>AND('2015'!AC33,"AAAAAHP3/6s=")</f>
        <v>#VALUE!</v>
      </c>
      <c r="FQ92" t="e">
        <f>AND('2015'!AD33,"AAAAAHP3/6w=")</f>
        <v>#VALUE!</v>
      </c>
      <c r="FR92" t="e">
        <f>AND('2015'!AE33,"AAAAAHP3/60=")</f>
        <v>#VALUE!</v>
      </c>
      <c r="FS92" t="e">
        <f>AND('2015'!AF33,"AAAAAHP3/64=")</f>
        <v>#VALUE!</v>
      </c>
      <c r="FT92" t="e">
        <f>AND('2015'!AG33,"AAAAAHP3/68=")</f>
        <v>#VALUE!</v>
      </c>
      <c r="FU92" t="e">
        <f>AND('2015'!AH33,"AAAAAHP3/7A=")</f>
        <v>#VALUE!</v>
      </c>
      <c r="FV92" t="e">
        <f>AND('2015'!AI33,"AAAAAHP3/7E=")</f>
        <v>#VALUE!</v>
      </c>
      <c r="FW92" t="e">
        <f>AND('2015'!AJ33,"AAAAAHP3/7I=")</f>
        <v>#VALUE!</v>
      </c>
      <c r="FX92" t="e">
        <f>AND('2015'!AK33,"AAAAAHP3/7M=")</f>
        <v>#VALUE!</v>
      </c>
      <c r="FY92" t="e">
        <f>AND('2015'!AL33,"AAAAAHP3/7Q=")</f>
        <v>#VALUE!</v>
      </c>
      <c r="FZ92" t="e">
        <f>AND('2015'!AM33,"AAAAAHP3/7U=")</f>
        <v>#VALUE!</v>
      </c>
      <c r="GA92" t="e">
        <f>AND('2015'!AN33,"AAAAAHP3/7Y=")</f>
        <v>#VALUE!</v>
      </c>
      <c r="GB92" t="e">
        <f>AND('2015'!AO33,"AAAAAHP3/7c=")</f>
        <v>#VALUE!</v>
      </c>
      <c r="GC92" t="e">
        <f>AND('2015'!AP33,"AAAAAHP3/7g=")</f>
        <v>#VALUE!</v>
      </c>
      <c r="GD92" t="e">
        <f>AND('2015'!AQ33,"AAAAAHP3/7k=")</f>
        <v>#VALUE!</v>
      </c>
      <c r="GE92" t="e">
        <f>AND('2015'!AR33,"AAAAAHP3/7o=")</f>
        <v>#VALUE!</v>
      </c>
      <c r="GF92" t="e">
        <f>AND('2015'!AS33,"AAAAAHP3/7s=")</f>
        <v>#VALUE!</v>
      </c>
      <c r="GG92" t="e">
        <f>AND('2015'!AT33,"AAAAAHP3/7w=")</f>
        <v>#VALUE!</v>
      </c>
      <c r="GH92" t="e">
        <f>AND('2015'!#REF!,"AAAAAHP3/70=")</f>
        <v>#REF!</v>
      </c>
      <c r="GI92" t="e">
        <f>AND('2015'!AU33,"AAAAAHP3/74=")</f>
        <v>#VALUE!</v>
      </c>
      <c r="GJ92" t="e">
        <f>AND('2015'!AV33,"AAAAAHP3/78=")</f>
        <v>#VALUE!</v>
      </c>
      <c r="GK92" t="e">
        <f>AND('2015'!AW33,"AAAAAHP3/8A=")</f>
        <v>#VALUE!</v>
      </c>
      <c r="GL92" t="e">
        <f>AND('2015'!AX33,"AAAAAHP3/8E=")</f>
        <v>#VALUE!</v>
      </c>
      <c r="GM92" t="e">
        <f>AND('2015'!AY33,"AAAAAHP3/8I=")</f>
        <v>#VALUE!</v>
      </c>
      <c r="GN92" t="e">
        <f>AND('2015'!AZ33,"AAAAAHP3/8M=")</f>
        <v>#VALUE!</v>
      </c>
      <c r="GO92" t="e">
        <f>AND('2015'!BA33,"AAAAAHP3/8Q=")</f>
        <v>#VALUE!</v>
      </c>
      <c r="GP92" t="e">
        <f>AND('2015'!BB33,"AAAAAHP3/8U=")</f>
        <v>#VALUE!</v>
      </c>
      <c r="GQ92" t="e">
        <f>AND('2015'!BC33,"AAAAAHP3/8Y=")</f>
        <v>#VALUE!</v>
      </c>
      <c r="GR92" t="e">
        <f>AND('2015'!BD33,"AAAAAHP3/8c=")</f>
        <v>#VALUE!</v>
      </c>
      <c r="GS92" t="e">
        <f>AND('2015'!BE33,"AAAAAHP3/8g=")</f>
        <v>#VALUE!</v>
      </c>
      <c r="GT92" t="e">
        <f>AND('2015'!BF33,"AAAAAHP3/8k=")</f>
        <v>#VALUE!</v>
      </c>
      <c r="GU92" t="e">
        <f>AND('2015'!BG33,"AAAAAHP3/8o=")</f>
        <v>#VALUE!</v>
      </c>
      <c r="GV92" t="e">
        <f>AND('2015'!BH33,"AAAAAHP3/8s=")</f>
        <v>#VALUE!</v>
      </c>
      <c r="GW92" t="e">
        <f>AND('2015'!BI33,"AAAAAHP3/8w=")</f>
        <v>#VALUE!</v>
      </c>
      <c r="GX92" t="e">
        <f>AND('2015'!BJ33,"AAAAAHP3/80=")</f>
        <v>#VALUE!</v>
      </c>
      <c r="GY92" t="e">
        <f>AND('2015'!BK33,"AAAAAHP3/84=")</f>
        <v>#VALUE!</v>
      </c>
      <c r="GZ92" t="e">
        <f>AND('2015'!BL33,"AAAAAHP3/88=")</f>
        <v>#VALUE!</v>
      </c>
      <c r="HA92" t="e">
        <f>AND('2015'!BM33,"AAAAAHP3/9A=")</f>
        <v>#VALUE!</v>
      </c>
      <c r="HB92" t="e">
        <f>AND('2015'!BY33,"AAAAAHP3/9E=")</f>
        <v>#VALUE!</v>
      </c>
      <c r="HC92">
        <f>IF('2015'!17:17,"AAAAAHP3/9I=",0)</f>
        <v>0</v>
      </c>
      <c r="HD92" t="e">
        <f>AND('2015'!A17,"AAAAAHP3/9M=")</f>
        <v>#VALUE!</v>
      </c>
      <c r="HE92" t="e">
        <f>AND('2015'!B17,"AAAAAHP3/9Q=")</f>
        <v>#VALUE!</v>
      </c>
      <c r="HF92" t="e">
        <f>AND('2015'!C17,"AAAAAHP3/9U=")</f>
        <v>#VALUE!</v>
      </c>
      <c r="HG92" t="e">
        <f>AND('2015'!D17,"AAAAAHP3/9Y=")</f>
        <v>#VALUE!</v>
      </c>
      <c r="HH92" t="e">
        <f>AND('2015'!E17,"AAAAAHP3/9c=")</f>
        <v>#VALUE!</v>
      </c>
      <c r="HI92" t="e">
        <f>AND('2015'!F17,"AAAAAHP3/9g=")</f>
        <v>#VALUE!</v>
      </c>
      <c r="HJ92" t="e">
        <f>AND('2015'!G17,"AAAAAHP3/9k=")</f>
        <v>#VALUE!</v>
      </c>
      <c r="HK92" t="e">
        <f>AND('2015'!H17,"AAAAAHP3/9o=")</f>
        <v>#VALUE!</v>
      </c>
      <c r="HL92" t="e">
        <f>AND('2015'!I17,"AAAAAHP3/9s=")</f>
        <v>#VALUE!</v>
      </c>
      <c r="HM92" t="e">
        <f>AND('2015'!J17,"AAAAAHP3/9w=")</f>
        <v>#VALUE!</v>
      </c>
      <c r="HN92" t="e">
        <f>AND('2015'!K17,"AAAAAHP3/90=")</f>
        <v>#VALUE!</v>
      </c>
      <c r="HO92" t="e">
        <f>AND('2015'!L17,"AAAAAHP3/94=")</f>
        <v>#VALUE!</v>
      </c>
      <c r="HP92" t="e">
        <f>AND('2015'!M17,"AAAAAHP3/98=")</f>
        <v>#VALUE!</v>
      </c>
      <c r="HQ92" t="e">
        <f>AND('2015'!N17,"AAAAAHP3/+A=")</f>
        <v>#VALUE!</v>
      </c>
      <c r="HR92" t="e">
        <f>AND('2015'!O17,"AAAAAHP3/+E=")</f>
        <v>#VALUE!</v>
      </c>
      <c r="HS92" t="e">
        <f>AND('2015'!P17,"AAAAAHP3/+I=")</f>
        <v>#VALUE!</v>
      </c>
      <c r="HT92" t="e">
        <f>AND('2015'!Q17,"AAAAAHP3/+M=")</f>
        <v>#VALUE!</v>
      </c>
      <c r="HU92" t="e">
        <f>AND('2015'!R17,"AAAAAHP3/+Q=")</f>
        <v>#VALUE!</v>
      </c>
      <c r="HV92" t="e">
        <f>AND('2015'!S17,"AAAAAHP3/+U=")</f>
        <v>#VALUE!</v>
      </c>
      <c r="HW92" t="e">
        <f>AND('2015'!T17,"AAAAAHP3/+Y=")</f>
        <v>#VALUE!</v>
      </c>
      <c r="HX92" t="e">
        <f>AND('2015'!U17,"AAAAAHP3/+c=")</f>
        <v>#VALUE!</v>
      </c>
      <c r="HY92" t="e">
        <f>AND('2015'!V17,"AAAAAHP3/+g=")</f>
        <v>#VALUE!</v>
      </c>
      <c r="HZ92" t="e">
        <f>AND('2015'!W17,"AAAAAHP3/+k=")</f>
        <v>#VALUE!</v>
      </c>
      <c r="IA92" t="e">
        <f>AND('2015'!X17,"AAAAAHP3/+o=")</f>
        <v>#VALUE!</v>
      </c>
      <c r="IB92" t="e">
        <f>AND('2015'!Y17,"AAAAAHP3/+s=")</f>
        <v>#VALUE!</v>
      </c>
      <c r="IC92" t="e">
        <f>AND('2015'!Z17,"AAAAAHP3/+w=")</f>
        <v>#VALUE!</v>
      </c>
      <c r="ID92" t="e">
        <f>AND('2015'!AA17,"AAAAAHP3/+0=")</f>
        <v>#VALUE!</v>
      </c>
      <c r="IE92" t="e">
        <f>AND('2015'!AB17,"AAAAAHP3/+4=")</f>
        <v>#VALUE!</v>
      </c>
      <c r="IF92" t="e">
        <f>AND('2015'!AC17,"AAAAAHP3/+8=")</f>
        <v>#VALUE!</v>
      </c>
      <c r="IG92" t="e">
        <f>AND('2015'!AD17,"AAAAAHP3//A=")</f>
        <v>#VALUE!</v>
      </c>
      <c r="IH92" t="e">
        <f>AND('2015'!AE17,"AAAAAHP3//E=")</f>
        <v>#VALUE!</v>
      </c>
      <c r="II92" t="e">
        <f>AND('2015'!AF17,"AAAAAHP3//I=")</f>
        <v>#VALUE!</v>
      </c>
      <c r="IJ92" t="e">
        <f>AND('2015'!AG17,"AAAAAHP3//M=")</f>
        <v>#VALUE!</v>
      </c>
      <c r="IK92" t="e">
        <f>AND('2015'!AH17,"AAAAAHP3//Q=")</f>
        <v>#VALUE!</v>
      </c>
      <c r="IL92" t="e">
        <f>AND('2015'!AI17,"AAAAAHP3//U=")</f>
        <v>#VALUE!</v>
      </c>
      <c r="IM92" t="e">
        <f>AND('2015'!AJ17,"AAAAAHP3//Y=")</f>
        <v>#VALUE!</v>
      </c>
      <c r="IN92" t="e">
        <f>AND('2015'!AK17,"AAAAAHP3//c=")</f>
        <v>#VALUE!</v>
      </c>
      <c r="IO92" t="e">
        <f>AND('2015'!AL17,"AAAAAHP3//g=")</f>
        <v>#VALUE!</v>
      </c>
      <c r="IP92" t="e">
        <f>AND('2015'!AM17,"AAAAAHP3//k=")</f>
        <v>#VALUE!</v>
      </c>
      <c r="IQ92" t="e">
        <f>AND('2015'!AN17,"AAAAAHP3//o=")</f>
        <v>#VALUE!</v>
      </c>
      <c r="IR92" t="e">
        <f>AND('2015'!AO17,"AAAAAHP3//s=")</f>
        <v>#VALUE!</v>
      </c>
      <c r="IS92" t="e">
        <f>AND('2015'!AP17,"AAAAAHP3//w=")</f>
        <v>#VALUE!</v>
      </c>
      <c r="IT92" t="e">
        <f>AND('2015'!AQ17,"AAAAAHP3//0=")</f>
        <v>#VALUE!</v>
      </c>
      <c r="IU92" t="e">
        <f>AND('2015'!AR17,"AAAAAHP3//4=")</f>
        <v>#VALUE!</v>
      </c>
      <c r="IV92" t="e">
        <f>AND('2015'!AS17,"AAAAAHP3//8=")</f>
        <v>#VALUE!</v>
      </c>
    </row>
    <row r="93" spans="1:256" x14ac:dyDescent="0.25">
      <c r="A93" t="e">
        <f>AND('2015'!AT17,"AAAAAHu3vgA=")</f>
        <v>#VALUE!</v>
      </c>
      <c r="B93" t="e">
        <f>AND('2015'!#REF!,"AAAAAHu3vgE=")</f>
        <v>#REF!</v>
      </c>
      <c r="C93" t="e">
        <f>AND('2015'!AU17,"AAAAAHu3vgI=")</f>
        <v>#VALUE!</v>
      </c>
      <c r="D93" t="e">
        <f>AND('2015'!AV17,"AAAAAHu3vgM=")</f>
        <v>#VALUE!</v>
      </c>
      <c r="E93" t="e">
        <f>AND('2015'!AW17,"AAAAAHu3vgQ=")</f>
        <v>#VALUE!</v>
      </c>
      <c r="F93" t="e">
        <f>AND('2015'!AX17,"AAAAAHu3vgU=")</f>
        <v>#VALUE!</v>
      </c>
      <c r="G93" t="e">
        <f>AND('2015'!AY17,"AAAAAHu3vgY=")</f>
        <v>#VALUE!</v>
      </c>
      <c r="H93" t="e">
        <f>AND('2015'!AZ17,"AAAAAHu3vgc=")</f>
        <v>#VALUE!</v>
      </c>
      <c r="I93" t="e">
        <f>AND('2015'!BA17,"AAAAAHu3vgg=")</f>
        <v>#VALUE!</v>
      </c>
      <c r="J93" t="e">
        <f>AND('2015'!BB17,"AAAAAHu3vgk=")</f>
        <v>#VALUE!</v>
      </c>
      <c r="K93" t="e">
        <f>AND('2015'!BC17,"AAAAAHu3vgo=")</f>
        <v>#VALUE!</v>
      </c>
      <c r="L93" t="e">
        <f>AND('2015'!BD17,"AAAAAHu3vgs=")</f>
        <v>#VALUE!</v>
      </c>
      <c r="M93" t="e">
        <f>AND('2015'!BE17,"AAAAAHu3vgw=")</f>
        <v>#VALUE!</v>
      </c>
      <c r="N93" t="e">
        <f>AND('2015'!BF17,"AAAAAHu3vg0=")</f>
        <v>#VALUE!</v>
      </c>
      <c r="O93" t="e">
        <f>AND('2015'!BG17,"AAAAAHu3vg4=")</f>
        <v>#VALUE!</v>
      </c>
      <c r="P93" t="e">
        <f>AND('2015'!BH17,"AAAAAHu3vg8=")</f>
        <v>#VALUE!</v>
      </c>
      <c r="Q93" t="e">
        <f>AND('2015'!BI17,"AAAAAHu3vhA=")</f>
        <v>#VALUE!</v>
      </c>
      <c r="R93" t="e">
        <f>AND('2015'!BJ17,"AAAAAHu3vhE=")</f>
        <v>#VALUE!</v>
      </c>
      <c r="S93" t="e">
        <f>AND('2015'!BK17,"AAAAAHu3vhI=")</f>
        <v>#VALUE!</v>
      </c>
      <c r="T93" t="e">
        <f>AND('2015'!BL17,"AAAAAHu3vhM=")</f>
        <v>#VALUE!</v>
      </c>
      <c r="U93" t="e">
        <f>AND('2015'!BM17,"AAAAAHu3vhQ=")</f>
        <v>#VALUE!</v>
      </c>
      <c r="V93" t="e">
        <f>AND('2015'!BY17,"AAAAAHu3vhU=")</f>
        <v>#VALUE!</v>
      </c>
      <c r="W93">
        <f>IF('2015'!114:114,"AAAAAHu3vhY=",0)</f>
        <v>0</v>
      </c>
      <c r="X93" t="e">
        <f>AND('2015'!A114,"AAAAAHu3vhc=")</f>
        <v>#VALUE!</v>
      </c>
      <c r="Y93" t="e">
        <f>AND('2015'!B114,"AAAAAHu3vhg=")</f>
        <v>#VALUE!</v>
      </c>
      <c r="Z93" t="e">
        <f>AND('2015'!C114,"AAAAAHu3vhk=")</f>
        <v>#VALUE!</v>
      </c>
      <c r="AA93" t="e">
        <f>AND('2015'!D114,"AAAAAHu3vho=")</f>
        <v>#VALUE!</v>
      </c>
      <c r="AB93" t="e">
        <f>AND('2015'!E114,"AAAAAHu3vhs=")</f>
        <v>#VALUE!</v>
      </c>
      <c r="AC93" t="e">
        <f>AND('2015'!F114,"AAAAAHu3vhw=")</f>
        <v>#VALUE!</v>
      </c>
      <c r="AD93" t="e">
        <f>AND('2015'!G114,"AAAAAHu3vh0=")</f>
        <v>#VALUE!</v>
      </c>
      <c r="AE93" t="e">
        <f>AND('2015'!H114,"AAAAAHu3vh4=")</f>
        <v>#VALUE!</v>
      </c>
      <c r="AF93" t="e">
        <f>AND('2015'!I114,"AAAAAHu3vh8=")</f>
        <v>#VALUE!</v>
      </c>
      <c r="AG93" t="e">
        <f>AND('2015'!J114,"AAAAAHu3viA=")</f>
        <v>#VALUE!</v>
      </c>
      <c r="AH93" t="e">
        <f>AND('2015'!K114,"AAAAAHu3viE=")</f>
        <v>#VALUE!</v>
      </c>
      <c r="AI93" t="e">
        <f>AND('2015'!L114,"AAAAAHu3viI=")</f>
        <v>#VALUE!</v>
      </c>
      <c r="AJ93" t="e">
        <f>AND('2015'!M114,"AAAAAHu3viM=")</f>
        <v>#VALUE!</v>
      </c>
      <c r="AK93" t="e">
        <f>AND('2015'!N114,"AAAAAHu3viQ=")</f>
        <v>#VALUE!</v>
      </c>
      <c r="AL93" t="e">
        <f>AND('2015'!O114,"AAAAAHu3viU=")</f>
        <v>#VALUE!</v>
      </c>
      <c r="AM93" t="e">
        <f>AND('2015'!P114,"AAAAAHu3viY=")</f>
        <v>#VALUE!</v>
      </c>
      <c r="AN93" t="e">
        <f>AND('2015'!Q114,"AAAAAHu3vic=")</f>
        <v>#VALUE!</v>
      </c>
      <c r="AO93" t="e">
        <f>AND('2015'!R114,"AAAAAHu3vig=")</f>
        <v>#VALUE!</v>
      </c>
      <c r="AP93" t="e">
        <f>AND('2015'!S114,"AAAAAHu3vik=")</f>
        <v>#VALUE!</v>
      </c>
      <c r="AQ93" t="e">
        <f>AND('2015'!T114,"AAAAAHu3vio=")</f>
        <v>#VALUE!</v>
      </c>
      <c r="AR93" t="e">
        <f>AND('2015'!U114,"AAAAAHu3vis=")</f>
        <v>#VALUE!</v>
      </c>
      <c r="AS93" t="e">
        <f>AND('2015'!V114,"AAAAAHu3viw=")</f>
        <v>#VALUE!</v>
      </c>
      <c r="AT93" t="e">
        <f>AND('2015'!W114,"AAAAAHu3vi0=")</f>
        <v>#VALUE!</v>
      </c>
      <c r="AU93" t="e">
        <f>AND('2015'!X114,"AAAAAHu3vi4=")</f>
        <v>#VALUE!</v>
      </c>
      <c r="AV93" t="e">
        <f>AND('2015'!Y114,"AAAAAHu3vi8=")</f>
        <v>#VALUE!</v>
      </c>
      <c r="AW93" t="e">
        <f>AND('2015'!Z114,"AAAAAHu3vjA=")</f>
        <v>#VALUE!</v>
      </c>
      <c r="AX93" t="e">
        <f>AND('2015'!AA114,"AAAAAHu3vjE=")</f>
        <v>#VALUE!</v>
      </c>
      <c r="AY93" t="e">
        <f>AND('2015'!AB114,"AAAAAHu3vjI=")</f>
        <v>#VALUE!</v>
      </c>
      <c r="AZ93" t="e">
        <f>AND('2015'!AC114,"AAAAAHu3vjM=")</f>
        <v>#VALUE!</v>
      </c>
      <c r="BA93" t="e">
        <f>AND('2015'!AD114,"AAAAAHu3vjQ=")</f>
        <v>#VALUE!</v>
      </c>
      <c r="BB93" t="e">
        <f>AND('2015'!AE114,"AAAAAHu3vjU=")</f>
        <v>#VALUE!</v>
      </c>
      <c r="BC93" t="e">
        <f>AND('2015'!AF114,"AAAAAHu3vjY=")</f>
        <v>#VALUE!</v>
      </c>
      <c r="BD93" t="e">
        <f>AND('2015'!AG114,"AAAAAHu3vjc=")</f>
        <v>#VALUE!</v>
      </c>
      <c r="BE93" t="e">
        <f>AND('2015'!AH114,"AAAAAHu3vjg=")</f>
        <v>#VALUE!</v>
      </c>
      <c r="BF93" t="e">
        <f>AND('2015'!AI114,"AAAAAHu3vjk=")</f>
        <v>#VALUE!</v>
      </c>
      <c r="BG93" t="e">
        <f>AND('2015'!AJ114,"AAAAAHu3vjo=")</f>
        <v>#VALUE!</v>
      </c>
      <c r="BH93" t="e">
        <f>AND('2015'!AK114,"AAAAAHu3vjs=")</f>
        <v>#VALUE!</v>
      </c>
      <c r="BI93" t="e">
        <f>AND('2015'!AL114,"AAAAAHu3vjw=")</f>
        <v>#VALUE!</v>
      </c>
      <c r="BJ93" t="e">
        <f>AND('2015'!AM114,"AAAAAHu3vj0=")</f>
        <v>#VALUE!</v>
      </c>
      <c r="BK93" t="e">
        <f>AND('2015'!AN114,"AAAAAHu3vj4=")</f>
        <v>#VALUE!</v>
      </c>
      <c r="BL93" t="e">
        <f>AND('2015'!AO114,"AAAAAHu3vj8=")</f>
        <v>#VALUE!</v>
      </c>
      <c r="BM93" t="e">
        <f>AND('2015'!AP114,"AAAAAHu3vkA=")</f>
        <v>#VALUE!</v>
      </c>
      <c r="BN93" t="e">
        <f>AND('2015'!AQ114,"AAAAAHu3vkE=")</f>
        <v>#VALUE!</v>
      </c>
      <c r="BO93" t="e">
        <f>AND('2015'!AR114,"AAAAAHu3vkI=")</f>
        <v>#VALUE!</v>
      </c>
      <c r="BP93" t="e">
        <f>AND('2015'!AS114,"AAAAAHu3vkM=")</f>
        <v>#VALUE!</v>
      </c>
      <c r="BQ93" t="e">
        <f>AND('2015'!AT114,"AAAAAHu3vkQ=")</f>
        <v>#VALUE!</v>
      </c>
      <c r="BR93" t="e">
        <f>AND('2015'!#REF!,"AAAAAHu3vkU=")</f>
        <v>#REF!</v>
      </c>
      <c r="BS93" t="e">
        <f>AND('2015'!AU114,"AAAAAHu3vkY=")</f>
        <v>#VALUE!</v>
      </c>
      <c r="BT93" t="e">
        <f>AND('2015'!AV114,"AAAAAHu3vkc=")</f>
        <v>#VALUE!</v>
      </c>
      <c r="BU93" t="e">
        <f>AND('2015'!AW114,"AAAAAHu3vkg=")</f>
        <v>#VALUE!</v>
      </c>
      <c r="BV93" t="e">
        <f>AND('2015'!AX114,"AAAAAHu3vkk=")</f>
        <v>#VALUE!</v>
      </c>
      <c r="BW93" t="e">
        <f>AND('2015'!AY114,"AAAAAHu3vko=")</f>
        <v>#VALUE!</v>
      </c>
      <c r="BX93" t="e">
        <f>AND('2015'!AZ114,"AAAAAHu3vks=")</f>
        <v>#VALUE!</v>
      </c>
      <c r="BY93" t="e">
        <f>AND('2015'!BA114,"AAAAAHu3vkw=")</f>
        <v>#VALUE!</v>
      </c>
      <c r="BZ93" t="e">
        <f>AND('2015'!BB114,"AAAAAHu3vk0=")</f>
        <v>#VALUE!</v>
      </c>
      <c r="CA93" t="e">
        <f>AND('2015'!BC114,"AAAAAHu3vk4=")</f>
        <v>#VALUE!</v>
      </c>
      <c r="CB93" t="e">
        <f>AND('2015'!BD114,"AAAAAHu3vk8=")</f>
        <v>#VALUE!</v>
      </c>
      <c r="CC93" t="e">
        <f>AND('2015'!BE114,"AAAAAHu3vlA=")</f>
        <v>#VALUE!</v>
      </c>
      <c r="CD93" t="e">
        <f>AND('2015'!BF114,"AAAAAHu3vlE=")</f>
        <v>#VALUE!</v>
      </c>
      <c r="CE93" t="e">
        <f>AND('2015'!BG114,"AAAAAHu3vlI=")</f>
        <v>#VALUE!</v>
      </c>
      <c r="CF93" t="e">
        <f>AND('2015'!BH114,"AAAAAHu3vlM=")</f>
        <v>#VALUE!</v>
      </c>
      <c r="CG93" t="e">
        <f>AND('2015'!BI114,"AAAAAHu3vlQ=")</f>
        <v>#VALUE!</v>
      </c>
      <c r="CH93" t="e">
        <f>AND('2015'!BJ114,"AAAAAHu3vlU=")</f>
        <v>#VALUE!</v>
      </c>
      <c r="CI93" t="e">
        <f>AND('2015'!BK114,"AAAAAHu3vlY=")</f>
        <v>#VALUE!</v>
      </c>
      <c r="CJ93" t="e">
        <f>AND('2015'!BL114,"AAAAAHu3vlc=")</f>
        <v>#VALUE!</v>
      </c>
      <c r="CK93" t="e">
        <f>AND('2015'!BM114,"AAAAAHu3vlg=")</f>
        <v>#VALUE!</v>
      </c>
      <c r="CL93" t="e">
        <f>AND('2015'!BY114,"AAAAAHu3vlk=")</f>
        <v>#VALUE!</v>
      </c>
      <c r="CM93">
        <f>IF('2015'!115:115,"AAAAAHu3vlo=",0)</f>
        <v>0</v>
      </c>
      <c r="CN93" t="e">
        <f>AND('2015'!A115,"AAAAAHu3vls=")</f>
        <v>#VALUE!</v>
      </c>
      <c r="CO93" t="e">
        <f>AND('2015'!B115,"AAAAAHu3vlw=")</f>
        <v>#VALUE!</v>
      </c>
      <c r="CP93" t="e">
        <f>AND('2015'!C115,"AAAAAHu3vl0=")</f>
        <v>#VALUE!</v>
      </c>
      <c r="CQ93" t="e">
        <f>AND('2015'!D115,"AAAAAHu3vl4=")</f>
        <v>#VALUE!</v>
      </c>
      <c r="CR93" t="e">
        <f>AND('2015'!E115,"AAAAAHu3vl8=")</f>
        <v>#VALUE!</v>
      </c>
      <c r="CS93" t="e">
        <f>AND('2015'!F115,"AAAAAHu3vmA=")</f>
        <v>#VALUE!</v>
      </c>
      <c r="CT93" t="e">
        <f>AND('2015'!G115,"AAAAAHu3vmE=")</f>
        <v>#VALUE!</v>
      </c>
      <c r="CU93" t="e">
        <f>AND('2015'!H115,"AAAAAHu3vmI=")</f>
        <v>#VALUE!</v>
      </c>
      <c r="CV93" t="e">
        <f>AND('2015'!I115,"AAAAAHu3vmM=")</f>
        <v>#VALUE!</v>
      </c>
      <c r="CW93" t="e">
        <f>AND('2015'!J115,"AAAAAHu3vmQ=")</f>
        <v>#VALUE!</v>
      </c>
      <c r="CX93" t="e">
        <f>AND('2015'!K115,"AAAAAHu3vmU=")</f>
        <v>#VALUE!</v>
      </c>
      <c r="CY93" t="e">
        <f>AND('2015'!L115,"AAAAAHu3vmY=")</f>
        <v>#VALUE!</v>
      </c>
      <c r="CZ93" t="e">
        <f>AND('2015'!M115,"AAAAAHu3vmc=")</f>
        <v>#VALUE!</v>
      </c>
      <c r="DA93" t="e">
        <f>AND('2015'!N115,"AAAAAHu3vmg=")</f>
        <v>#VALUE!</v>
      </c>
      <c r="DB93" t="e">
        <f>AND('2015'!O115,"AAAAAHu3vmk=")</f>
        <v>#VALUE!</v>
      </c>
      <c r="DC93" t="e">
        <f>AND('2015'!P115,"AAAAAHu3vmo=")</f>
        <v>#VALUE!</v>
      </c>
      <c r="DD93" t="e">
        <f>AND('2015'!Q115,"AAAAAHu3vms=")</f>
        <v>#VALUE!</v>
      </c>
      <c r="DE93" t="e">
        <f>AND('2015'!R115,"AAAAAHu3vmw=")</f>
        <v>#VALUE!</v>
      </c>
      <c r="DF93" t="e">
        <f>AND('2015'!S115,"AAAAAHu3vm0=")</f>
        <v>#VALUE!</v>
      </c>
      <c r="DG93" t="e">
        <f>AND('2015'!T115,"AAAAAHu3vm4=")</f>
        <v>#VALUE!</v>
      </c>
      <c r="DH93" t="e">
        <f>AND('2015'!U115,"AAAAAHu3vm8=")</f>
        <v>#VALUE!</v>
      </c>
      <c r="DI93" t="e">
        <f>AND('2015'!V115,"AAAAAHu3vnA=")</f>
        <v>#VALUE!</v>
      </c>
      <c r="DJ93" t="e">
        <f>AND('2015'!W115,"AAAAAHu3vnE=")</f>
        <v>#VALUE!</v>
      </c>
      <c r="DK93" t="e">
        <f>AND('2015'!X115,"AAAAAHu3vnI=")</f>
        <v>#VALUE!</v>
      </c>
      <c r="DL93" t="e">
        <f>AND('2015'!Y115,"AAAAAHu3vnM=")</f>
        <v>#VALUE!</v>
      </c>
      <c r="DM93" t="e">
        <f>AND('2015'!Z115,"AAAAAHu3vnQ=")</f>
        <v>#VALUE!</v>
      </c>
      <c r="DN93" t="e">
        <f>AND('2015'!AA115,"AAAAAHu3vnU=")</f>
        <v>#VALUE!</v>
      </c>
      <c r="DO93" t="e">
        <f>AND('2015'!AB115,"AAAAAHu3vnY=")</f>
        <v>#VALUE!</v>
      </c>
      <c r="DP93" t="e">
        <f>AND('2015'!AC115,"AAAAAHu3vnc=")</f>
        <v>#VALUE!</v>
      </c>
      <c r="DQ93" t="e">
        <f>AND('2015'!AD115,"AAAAAHu3vng=")</f>
        <v>#VALUE!</v>
      </c>
      <c r="DR93" t="e">
        <f>AND('2015'!AE115,"AAAAAHu3vnk=")</f>
        <v>#VALUE!</v>
      </c>
      <c r="DS93" t="e">
        <f>AND('2015'!AF115,"AAAAAHu3vno=")</f>
        <v>#VALUE!</v>
      </c>
      <c r="DT93" t="e">
        <f>AND('2015'!AG115,"AAAAAHu3vns=")</f>
        <v>#VALUE!</v>
      </c>
      <c r="DU93" t="e">
        <f>AND('2015'!AH115,"AAAAAHu3vnw=")</f>
        <v>#VALUE!</v>
      </c>
      <c r="DV93" t="e">
        <f>AND('2015'!AI115,"AAAAAHu3vn0=")</f>
        <v>#VALUE!</v>
      </c>
      <c r="DW93" t="e">
        <f>AND('2015'!AJ115,"AAAAAHu3vn4=")</f>
        <v>#VALUE!</v>
      </c>
      <c r="DX93" t="e">
        <f>AND('2015'!AK115,"AAAAAHu3vn8=")</f>
        <v>#VALUE!</v>
      </c>
      <c r="DY93" t="e">
        <f>AND('2015'!AL115,"AAAAAHu3voA=")</f>
        <v>#VALUE!</v>
      </c>
      <c r="DZ93" t="e">
        <f>AND('2015'!AM115,"AAAAAHu3voE=")</f>
        <v>#VALUE!</v>
      </c>
      <c r="EA93" t="e">
        <f>AND('2015'!AN115,"AAAAAHu3voI=")</f>
        <v>#VALUE!</v>
      </c>
      <c r="EB93" t="e">
        <f>AND('2015'!AO115,"AAAAAHu3voM=")</f>
        <v>#VALUE!</v>
      </c>
      <c r="EC93" t="e">
        <f>AND('2015'!AP115,"AAAAAHu3voQ=")</f>
        <v>#VALUE!</v>
      </c>
      <c r="ED93" t="e">
        <f>AND('2015'!AQ115,"AAAAAHu3voU=")</f>
        <v>#VALUE!</v>
      </c>
      <c r="EE93" t="e">
        <f>AND('2015'!AR115,"AAAAAHu3voY=")</f>
        <v>#VALUE!</v>
      </c>
      <c r="EF93" t="e">
        <f>AND('2015'!AS115,"AAAAAHu3voc=")</f>
        <v>#VALUE!</v>
      </c>
      <c r="EG93" t="e">
        <f>AND('2015'!AT115,"AAAAAHu3vog=")</f>
        <v>#VALUE!</v>
      </c>
      <c r="EH93" t="e">
        <f>AND('2015'!#REF!,"AAAAAHu3vok=")</f>
        <v>#REF!</v>
      </c>
      <c r="EI93" t="e">
        <f>AND('2015'!AU115,"AAAAAHu3voo=")</f>
        <v>#VALUE!</v>
      </c>
      <c r="EJ93" t="e">
        <f>AND('2015'!AV115,"AAAAAHu3vos=")</f>
        <v>#VALUE!</v>
      </c>
      <c r="EK93" t="e">
        <f>AND('2015'!AW115,"AAAAAHu3vow=")</f>
        <v>#VALUE!</v>
      </c>
      <c r="EL93" t="e">
        <f>AND('2015'!AX115,"AAAAAHu3vo0=")</f>
        <v>#VALUE!</v>
      </c>
      <c r="EM93" t="e">
        <f>AND('2015'!AY115,"AAAAAHu3vo4=")</f>
        <v>#VALUE!</v>
      </c>
      <c r="EN93" t="e">
        <f>AND('2015'!AZ115,"AAAAAHu3vo8=")</f>
        <v>#VALUE!</v>
      </c>
      <c r="EO93" t="e">
        <f>AND('2015'!BA115,"AAAAAHu3vpA=")</f>
        <v>#VALUE!</v>
      </c>
      <c r="EP93" t="e">
        <f>AND('2015'!BB115,"AAAAAHu3vpE=")</f>
        <v>#VALUE!</v>
      </c>
      <c r="EQ93" t="e">
        <f>AND('2015'!BC115,"AAAAAHu3vpI=")</f>
        <v>#VALUE!</v>
      </c>
      <c r="ER93" t="e">
        <f>AND('2015'!BD115,"AAAAAHu3vpM=")</f>
        <v>#VALUE!</v>
      </c>
      <c r="ES93" t="e">
        <f>AND('2015'!BE115,"AAAAAHu3vpQ=")</f>
        <v>#VALUE!</v>
      </c>
      <c r="ET93" t="e">
        <f>AND('2015'!BF115,"AAAAAHu3vpU=")</f>
        <v>#VALUE!</v>
      </c>
      <c r="EU93" t="e">
        <f>AND('2015'!BG115,"AAAAAHu3vpY=")</f>
        <v>#VALUE!</v>
      </c>
      <c r="EV93" t="e">
        <f>AND('2015'!BH115,"AAAAAHu3vpc=")</f>
        <v>#VALUE!</v>
      </c>
      <c r="EW93" t="e">
        <f>AND('2015'!BI115,"AAAAAHu3vpg=")</f>
        <v>#VALUE!</v>
      </c>
      <c r="EX93" t="e">
        <f>AND('2015'!BJ115,"AAAAAHu3vpk=")</f>
        <v>#VALUE!</v>
      </c>
      <c r="EY93" t="e">
        <f>AND('2015'!BK115,"AAAAAHu3vpo=")</f>
        <v>#VALUE!</v>
      </c>
      <c r="EZ93" t="e">
        <f>AND('2015'!BL115,"AAAAAHu3vps=")</f>
        <v>#VALUE!</v>
      </c>
      <c r="FA93" t="e">
        <f>AND('2015'!BM115,"AAAAAHu3vpw=")</f>
        <v>#VALUE!</v>
      </c>
      <c r="FB93" t="e">
        <f>AND('2015'!BY115,"AAAAAHu3vp0=")</f>
        <v>#VALUE!</v>
      </c>
      <c r="FC93">
        <f>IF('2015'!116:116,"AAAAAHu3vp4=",0)</f>
        <v>0</v>
      </c>
      <c r="FD93" t="e">
        <f>AND('2015'!A116,"AAAAAHu3vp8=")</f>
        <v>#VALUE!</v>
      </c>
      <c r="FE93" t="e">
        <f>AND('2015'!B116,"AAAAAHu3vqA=")</f>
        <v>#VALUE!</v>
      </c>
      <c r="FF93" t="e">
        <f>AND('2015'!C116,"AAAAAHu3vqE=")</f>
        <v>#VALUE!</v>
      </c>
      <c r="FG93" t="e">
        <f>AND('2015'!D116,"AAAAAHu3vqI=")</f>
        <v>#VALUE!</v>
      </c>
      <c r="FH93" t="e">
        <f>AND('2015'!E116,"AAAAAHu3vqM=")</f>
        <v>#VALUE!</v>
      </c>
      <c r="FI93" t="e">
        <f>AND('2015'!F116,"AAAAAHu3vqQ=")</f>
        <v>#VALUE!</v>
      </c>
      <c r="FJ93" t="e">
        <f>AND('2015'!G116,"AAAAAHu3vqU=")</f>
        <v>#VALUE!</v>
      </c>
      <c r="FK93" t="e">
        <f>AND('2015'!H116,"AAAAAHu3vqY=")</f>
        <v>#VALUE!</v>
      </c>
      <c r="FL93" t="e">
        <f>AND('2015'!I116,"AAAAAHu3vqc=")</f>
        <v>#VALUE!</v>
      </c>
      <c r="FM93" t="e">
        <f>AND('2015'!J116,"AAAAAHu3vqg=")</f>
        <v>#VALUE!</v>
      </c>
      <c r="FN93" t="e">
        <f>AND('2015'!K116,"AAAAAHu3vqk=")</f>
        <v>#VALUE!</v>
      </c>
      <c r="FO93" t="e">
        <f>AND('2015'!L116,"AAAAAHu3vqo=")</f>
        <v>#VALUE!</v>
      </c>
      <c r="FP93" t="e">
        <f>AND('2015'!M116,"AAAAAHu3vqs=")</f>
        <v>#VALUE!</v>
      </c>
      <c r="FQ93" t="e">
        <f>AND('2015'!N116,"AAAAAHu3vqw=")</f>
        <v>#VALUE!</v>
      </c>
      <c r="FR93" t="e">
        <f>AND('2015'!O116,"AAAAAHu3vq0=")</f>
        <v>#VALUE!</v>
      </c>
      <c r="FS93" t="e">
        <f>AND('2015'!P116,"AAAAAHu3vq4=")</f>
        <v>#VALUE!</v>
      </c>
      <c r="FT93" t="e">
        <f>AND('2015'!Q116,"AAAAAHu3vq8=")</f>
        <v>#VALUE!</v>
      </c>
      <c r="FU93" t="e">
        <f>AND('2015'!R116,"AAAAAHu3vrA=")</f>
        <v>#VALUE!</v>
      </c>
      <c r="FV93" t="e">
        <f>AND('2015'!S116,"AAAAAHu3vrE=")</f>
        <v>#VALUE!</v>
      </c>
      <c r="FW93" t="e">
        <f>AND('2015'!T116,"AAAAAHu3vrI=")</f>
        <v>#VALUE!</v>
      </c>
      <c r="FX93" t="e">
        <f>AND('2015'!U116,"AAAAAHu3vrM=")</f>
        <v>#VALUE!</v>
      </c>
      <c r="FY93" t="e">
        <f>AND('2015'!V116,"AAAAAHu3vrQ=")</f>
        <v>#VALUE!</v>
      </c>
      <c r="FZ93" t="e">
        <f>AND('2015'!W116,"AAAAAHu3vrU=")</f>
        <v>#VALUE!</v>
      </c>
      <c r="GA93" t="e">
        <f>AND('2015'!X116,"AAAAAHu3vrY=")</f>
        <v>#VALUE!</v>
      </c>
      <c r="GB93" t="e">
        <f>AND('2015'!Y116,"AAAAAHu3vrc=")</f>
        <v>#VALUE!</v>
      </c>
      <c r="GC93" t="e">
        <f>AND('2015'!Z116,"AAAAAHu3vrg=")</f>
        <v>#VALUE!</v>
      </c>
      <c r="GD93" t="e">
        <f>AND('2015'!AA116,"AAAAAHu3vrk=")</f>
        <v>#VALUE!</v>
      </c>
      <c r="GE93" t="e">
        <f>AND('2015'!AB116,"AAAAAHu3vro=")</f>
        <v>#VALUE!</v>
      </c>
      <c r="GF93" t="e">
        <f>AND('2015'!AC116,"AAAAAHu3vrs=")</f>
        <v>#VALUE!</v>
      </c>
      <c r="GG93" t="e">
        <f>AND('2015'!AD116,"AAAAAHu3vrw=")</f>
        <v>#VALUE!</v>
      </c>
      <c r="GH93" t="e">
        <f>AND('2015'!AE116,"AAAAAHu3vr0=")</f>
        <v>#VALUE!</v>
      </c>
      <c r="GI93" t="e">
        <f>AND('2015'!AF116,"AAAAAHu3vr4=")</f>
        <v>#VALUE!</v>
      </c>
      <c r="GJ93" t="e">
        <f>AND('2015'!AG116,"AAAAAHu3vr8=")</f>
        <v>#VALUE!</v>
      </c>
      <c r="GK93" t="e">
        <f>AND('2015'!AH116,"AAAAAHu3vsA=")</f>
        <v>#VALUE!</v>
      </c>
      <c r="GL93" t="e">
        <f>AND('2015'!AI116,"AAAAAHu3vsE=")</f>
        <v>#VALUE!</v>
      </c>
      <c r="GM93" t="e">
        <f>AND('2015'!AJ116,"AAAAAHu3vsI=")</f>
        <v>#VALUE!</v>
      </c>
      <c r="GN93" t="e">
        <f>AND('2015'!AK116,"AAAAAHu3vsM=")</f>
        <v>#VALUE!</v>
      </c>
      <c r="GO93" t="e">
        <f>AND('2015'!AL116,"AAAAAHu3vsQ=")</f>
        <v>#VALUE!</v>
      </c>
      <c r="GP93" t="e">
        <f>AND('2015'!AM116,"AAAAAHu3vsU=")</f>
        <v>#VALUE!</v>
      </c>
      <c r="GQ93" t="e">
        <f>AND('2015'!AN116,"AAAAAHu3vsY=")</f>
        <v>#VALUE!</v>
      </c>
      <c r="GR93" t="e">
        <f>AND('2015'!AO116,"AAAAAHu3vsc=")</f>
        <v>#VALUE!</v>
      </c>
      <c r="GS93" t="e">
        <f>AND('2015'!AP116,"AAAAAHu3vsg=")</f>
        <v>#VALUE!</v>
      </c>
      <c r="GT93" t="e">
        <f>AND('2015'!AQ116,"AAAAAHu3vsk=")</f>
        <v>#VALUE!</v>
      </c>
      <c r="GU93" t="e">
        <f>AND('2015'!AR116,"AAAAAHu3vso=")</f>
        <v>#VALUE!</v>
      </c>
      <c r="GV93" t="e">
        <f>AND('2015'!AS116,"AAAAAHu3vss=")</f>
        <v>#VALUE!</v>
      </c>
      <c r="GW93" t="e">
        <f>AND('2015'!AT116,"AAAAAHu3vsw=")</f>
        <v>#VALUE!</v>
      </c>
      <c r="GX93" t="e">
        <f>AND('2015'!#REF!,"AAAAAHu3vs0=")</f>
        <v>#REF!</v>
      </c>
      <c r="GY93" t="e">
        <f>AND('2015'!AU116,"AAAAAHu3vs4=")</f>
        <v>#VALUE!</v>
      </c>
      <c r="GZ93" t="e">
        <f>AND('2015'!AV116,"AAAAAHu3vs8=")</f>
        <v>#VALUE!</v>
      </c>
      <c r="HA93" t="e">
        <f>AND('2015'!AW116,"AAAAAHu3vtA=")</f>
        <v>#VALUE!</v>
      </c>
      <c r="HB93" t="e">
        <f>AND('2015'!AX116,"AAAAAHu3vtE=")</f>
        <v>#VALUE!</v>
      </c>
      <c r="HC93" t="e">
        <f>AND('2015'!AY116,"AAAAAHu3vtI=")</f>
        <v>#VALUE!</v>
      </c>
      <c r="HD93" t="e">
        <f>AND('2015'!AZ116,"AAAAAHu3vtM=")</f>
        <v>#VALUE!</v>
      </c>
      <c r="HE93" t="e">
        <f>AND('2015'!BA116,"AAAAAHu3vtQ=")</f>
        <v>#VALUE!</v>
      </c>
      <c r="HF93" t="e">
        <f>AND('2015'!BB116,"AAAAAHu3vtU=")</f>
        <v>#VALUE!</v>
      </c>
      <c r="HG93" t="e">
        <f>AND('2015'!BC116,"AAAAAHu3vtY=")</f>
        <v>#VALUE!</v>
      </c>
      <c r="HH93" t="e">
        <f>AND('2015'!BD116,"AAAAAHu3vtc=")</f>
        <v>#VALUE!</v>
      </c>
      <c r="HI93" t="e">
        <f>AND('2015'!BE116,"AAAAAHu3vtg=")</f>
        <v>#VALUE!</v>
      </c>
      <c r="HJ93" t="e">
        <f>AND('2015'!BF116,"AAAAAHu3vtk=")</f>
        <v>#VALUE!</v>
      </c>
      <c r="HK93" t="e">
        <f>AND('2015'!BG116,"AAAAAHu3vto=")</f>
        <v>#VALUE!</v>
      </c>
      <c r="HL93" t="e">
        <f>AND('2015'!BH116,"AAAAAHu3vts=")</f>
        <v>#VALUE!</v>
      </c>
      <c r="HM93" t="e">
        <f>AND('2015'!BI116,"AAAAAHu3vtw=")</f>
        <v>#VALUE!</v>
      </c>
      <c r="HN93" t="e">
        <f>AND('2015'!BJ116,"AAAAAHu3vt0=")</f>
        <v>#VALUE!</v>
      </c>
      <c r="HO93" t="e">
        <f>AND('2015'!BK116,"AAAAAHu3vt4=")</f>
        <v>#VALUE!</v>
      </c>
      <c r="HP93" t="e">
        <f>AND('2015'!BL116,"AAAAAHu3vt8=")</f>
        <v>#VALUE!</v>
      </c>
      <c r="HQ93" t="e">
        <f>AND('2015'!BM116,"AAAAAHu3vuA=")</f>
        <v>#VALUE!</v>
      </c>
      <c r="HR93" t="e">
        <f>AND('2015'!BY116,"AAAAAHu3vuE=")</f>
        <v>#VALUE!</v>
      </c>
      <c r="HS93">
        <f>IF('2015'!117:117,"AAAAAHu3vuI=",0)</f>
        <v>0</v>
      </c>
      <c r="HT93" t="e">
        <f>AND('2015'!A117,"AAAAAHu3vuM=")</f>
        <v>#VALUE!</v>
      </c>
      <c r="HU93" t="e">
        <f>AND('2015'!B117,"AAAAAHu3vuQ=")</f>
        <v>#VALUE!</v>
      </c>
      <c r="HV93" t="e">
        <f>AND('2015'!C117,"AAAAAHu3vuU=")</f>
        <v>#VALUE!</v>
      </c>
      <c r="HW93" t="e">
        <f>AND('2015'!D117,"AAAAAHu3vuY=")</f>
        <v>#VALUE!</v>
      </c>
      <c r="HX93" t="e">
        <f>AND('2015'!E117,"AAAAAHu3vuc=")</f>
        <v>#VALUE!</v>
      </c>
      <c r="HY93" t="e">
        <f>AND('2015'!F117,"AAAAAHu3vug=")</f>
        <v>#VALUE!</v>
      </c>
      <c r="HZ93" t="e">
        <f>AND('2015'!G117,"AAAAAHu3vuk=")</f>
        <v>#VALUE!</v>
      </c>
      <c r="IA93" t="e">
        <f>AND('2015'!H117,"AAAAAHu3vuo=")</f>
        <v>#VALUE!</v>
      </c>
      <c r="IB93" t="e">
        <f>AND('2015'!I117,"AAAAAHu3vus=")</f>
        <v>#VALUE!</v>
      </c>
      <c r="IC93" t="e">
        <f>AND('2015'!J117,"AAAAAHu3vuw=")</f>
        <v>#VALUE!</v>
      </c>
      <c r="ID93" t="e">
        <f>AND('2015'!K117,"AAAAAHu3vu0=")</f>
        <v>#VALUE!</v>
      </c>
      <c r="IE93" t="e">
        <f>AND('2015'!L117,"AAAAAHu3vu4=")</f>
        <v>#VALUE!</v>
      </c>
      <c r="IF93" t="e">
        <f>AND('2015'!M117,"AAAAAHu3vu8=")</f>
        <v>#VALUE!</v>
      </c>
      <c r="IG93" t="e">
        <f>AND('2015'!N117,"AAAAAHu3vvA=")</f>
        <v>#VALUE!</v>
      </c>
      <c r="IH93" t="e">
        <f>AND('2015'!O117,"AAAAAHu3vvE=")</f>
        <v>#VALUE!</v>
      </c>
      <c r="II93" t="e">
        <f>AND('2015'!P117,"AAAAAHu3vvI=")</f>
        <v>#VALUE!</v>
      </c>
      <c r="IJ93" t="e">
        <f>AND('2015'!Q117,"AAAAAHu3vvM=")</f>
        <v>#VALUE!</v>
      </c>
      <c r="IK93" t="e">
        <f>AND('2015'!R117,"AAAAAHu3vvQ=")</f>
        <v>#VALUE!</v>
      </c>
      <c r="IL93" t="e">
        <f>AND('2015'!S117,"AAAAAHu3vvU=")</f>
        <v>#VALUE!</v>
      </c>
      <c r="IM93" t="e">
        <f>AND('2015'!T117,"AAAAAHu3vvY=")</f>
        <v>#VALUE!</v>
      </c>
      <c r="IN93" t="e">
        <f>AND('2015'!U117,"AAAAAHu3vvc=")</f>
        <v>#VALUE!</v>
      </c>
      <c r="IO93" t="e">
        <f>AND('2015'!V117,"AAAAAHu3vvg=")</f>
        <v>#VALUE!</v>
      </c>
      <c r="IP93" t="e">
        <f>AND('2015'!W117,"AAAAAHu3vvk=")</f>
        <v>#VALUE!</v>
      </c>
      <c r="IQ93" t="e">
        <f>AND('2015'!X117,"AAAAAHu3vvo=")</f>
        <v>#VALUE!</v>
      </c>
      <c r="IR93" t="e">
        <f>AND('2015'!Y117,"AAAAAHu3vvs=")</f>
        <v>#VALUE!</v>
      </c>
      <c r="IS93" t="e">
        <f>AND('2015'!Z117,"AAAAAHu3vvw=")</f>
        <v>#VALUE!</v>
      </c>
      <c r="IT93" t="e">
        <f>AND('2015'!AA117,"AAAAAHu3vv0=")</f>
        <v>#VALUE!</v>
      </c>
      <c r="IU93" t="e">
        <f>AND('2015'!AB117,"AAAAAHu3vv4=")</f>
        <v>#VALUE!</v>
      </c>
      <c r="IV93" t="e">
        <f>AND('2015'!AC117,"AAAAAHu3vv8=")</f>
        <v>#VALUE!</v>
      </c>
    </row>
    <row r="94" spans="1:256" x14ac:dyDescent="0.25">
      <c r="A94" t="e">
        <f>AND('2015'!AD117,"AAAAAFu1+wA=")</f>
        <v>#VALUE!</v>
      </c>
      <c r="B94" t="e">
        <f>AND('2015'!AE117,"AAAAAFu1+wE=")</f>
        <v>#VALUE!</v>
      </c>
      <c r="C94" t="e">
        <f>AND('2015'!AF117,"AAAAAFu1+wI=")</f>
        <v>#VALUE!</v>
      </c>
      <c r="D94" t="e">
        <f>AND('2015'!AG117,"AAAAAFu1+wM=")</f>
        <v>#VALUE!</v>
      </c>
      <c r="E94" t="e">
        <f>AND('2015'!AH117,"AAAAAFu1+wQ=")</f>
        <v>#VALUE!</v>
      </c>
      <c r="F94" t="e">
        <f>AND('2015'!AI117,"AAAAAFu1+wU=")</f>
        <v>#VALUE!</v>
      </c>
      <c r="G94" t="e">
        <f>AND('2015'!AJ117,"AAAAAFu1+wY=")</f>
        <v>#VALUE!</v>
      </c>
      <c r="H94" t="e">
        <f>AND('2015'!AK117,"AAAAAFu1+wc=")</f>
        <v>#VALUE!</v>
      </c>
      <c r="I94" t="e">
        <f>AND('2015'!AL117,"AAAAAFu1+wg=")</f>
        <v>#VALUE!</v>
      </c>
      <c r="J94" t="e">
        <f>AND('2015'!AM117,"AAAAAFu1+wk=")</f>
        <v>#VALUE!</v>
      </c>
      <c r="K94" t="e">
        <f>AND('2015'!AN117,"AAAAAFu1+wo=")</f>
        <v>#VALUE!</v>
      </c>
      <c r="L94" t="e">
        <f>AND('2015'!AO117,"AAAAAFu1+ws=")</f>
        <v>#VALUE!</v>
      </c>
      <c r="M94" t="e">
        <f>AND('2015'!AP117,"AAAAAFu1+ww=")</f>
        <v>#VALUE!</v>
      </c>
      <c r="N94" t="e">
        <f>AND('2015'!AQ117,"AAAAAFu1+w0=")</f>
        <v>#VALUE!</v>
      </c>
      <c r="O94" t="e">
        <f>AND('2015'!AR117,"AAAAAFu1+w4=")</f>
        <v>#VALUE!</v>
      </c>
      <c r="P94" t="e">
        <f>AND('2015'!AS117,"AAAAAFu1+w8=")</f>
        <v>#VALUE!</v>
      </c>
      <c r="Q94" t="e">
        <f>AND('2015'!AT117,"AAAAAFu1+xA=")</f>
        <v>#VALUE!</v>
      </c>
      <c r="R94" t="e">
        <f>AND('2015'!#REF!,"AAAAAFu1+xE=")</f>
        <v>#REF!</v>
      </c>
      <c r="S94" t="e">
        <f>AND('2015'!AU117,"AAAAAFu1+xI=")</f>
        <v>#VALUE!</v>
      </c>
      <c r="T94" t="e">
        <f>AND('2015'!AV117,"AAAAAFu1+xM=")</f>
        <v>#VALUE!</v>
      </c>
      <c r="U94" t="e">
        <f>AND('2015'!AW117,"AAAAAFu1+xQ=")</f>
        <v>#VALUE!</v>
      </c>
      <c r="V94" t="e">
        <f>AND('2015'!AX117,"AAAAAFu1+xU=")</f>
        <v>#VALUE!</v>
      </c>
      <c r="W94" t="e">
        <f>AND('2015'!AY117,"AAAAAFu1+xY=")</f>
        <v>#VALUE!</v>
      </c>
      <c r="X94" t="e">
        <f>AND('2015'!AZ117,"AAAAAFu1+xc=")</f>
        <v>#VALUE!</v>
      </c>
      <c r="Y94" t="e">
        <f>AND('2015'!BA117,"AAAAAFu1+xg=")</f>
        <v>#VALUE!</v>
      </c>
      <c r="Z94" t="e">
        <f>AND('2015'!BB117,"AAAAAFu1+xk=")</f>
        <v>#VALUE!</v>
      </c>
      <c r="AA94" t="e">
        <f>AND('2015'!BC117,"AAAAAFu1+xo=")</f>
        <v>#VALUE!</v>
      </c>
      <c r="AB94" t="e">
        <f>AND('2015'!BD117,"AAAAAFu1+xs=")</f>
        <v>#VALUE!</v>
      </c>
      <c r="AC94" t="e">
        <f>AND('2015'!BE117,"AAAAAFu1+xw=")</f>
        <v>#VALUE!</v>
      </c>
      <c r="AD94" t="e">
        <f>AND('2015'!BF117,"AAAAAFu1+x0=")</f>
        <v>#VALUE!</v>
      </c>
      <c r="AE94" t="e">
        <f>AND('2015'!BG117,"AAAAAFu1+x4=")</f>
        <v>#VALUE!</v>
      </c>
      <c r="AF94" t="e">
        <f>AND('2015'!BH117,"AAAAAFu1+x8=")</f>
        <v>#VALUE!</v>
      </c>
      <c r="AG94" t="e">
        <f>AND('2015'!BI117,"AAAAAFu1+yA=")</f>
        <v>#VALUE!</v>
      </c>
      <c r="AH94" t="e">
        <f>AND('2015'!BJ117,"AAAAAFu1+yE=")</f>
        <v>#VALUE!</v>
      </c>
      <c r="AI94" t="e">
        <f>AND('2015'!BK117,"AAAAAFu1+yI=")</f>
        <v>#VALUE!</v>
      </c>
      <c r="AJ94" t="e">
        <f>AND('2015'!BL117,"AAAAAFu1+yM=")</f>
        <v>#VALUE!</v>
      </c>
      <c r="AK94" t="e">
        <f>AND('2015'!BM117,"AAAAAFu1+yQ=")</f>
        <v>#VALUE!</v>
      </c>
      <c r="AL94" t="e">
        <f>AND('2015'!BY117,"AAAAAFu1+yU=")</f>
        <v>#VALUE!</v>
      </c>
      <c r="AM94">
        <f>IF('2015'!118:118,"AAAAAFu1+yY=",0)</f>
        <v>0</v>
      </c>
      <c r="AN94" t="e">
        <f>AND('2015'!A118,"AAAAAFu1+yc=")</f>
        <v>#VALUE!</v>
      </c>
      <c r="AO94" t="e">
        <f>AND('2015'!B118,"AAAAAFu1+yg=")</f>
        <v>#VALUE!</v>
      </c>
      <c r="AP94" t="e">
        <f>AND('2015'!C118,"AAAAAFu1+yk=")</f>
        <v>#VALUE!</v>
      </c>
      <c r="AQ94" t="e">
        <f>AND('2015'!D118,"AAAAAFu1+yo=")</f>
        <v>#VALUE!</v>
      </c>
      <c r="AR94" t="e">
        <f>AND('2015'!E118,"AAAAAFu1+ys=")</f>
        <v>#VALUE!</v>
      </c>
      <c r="AS94" t="e">
        <f>AND('2015'!F118,"AAAAAFu1+yw=")</f>
        <v>#VALUE!</v>
      </c>
      <c r="AT94" t="e">
        <f>AND('2015'!G118,"AAAAAFu1+y0=")</f>
        <v>#VALUE!</v>
      </c>
      <c r="AU94" t="e">
        <f>AND('2015'!H118,"AAAAAFu1+y4=")</f>
        <v>#VALUE!</v>
      </c>
      <c r="AV94" t="e">
        <f>AND('2015'!I118,"AAAAAFu1+y8=")</f>
        <v>#VALUE!</v>
      </c>
      <c r="AW94" t="e">
        <f>AND('2015'!J118,"AAAAAFu1+zA=")</f>
        <v>#VALUE!</v>
      </c>
      <c r="AX94" t="e">
        <f>AND('2015'!K118,"AAAAAFu1+zE=")</f>
        <v>#VALUE!</v>
      </c>
      <c r="AY94" t="e">
        <f>AND('2015'!L118,"AAAAAFu1+zI=")</f>
        <v>#VALUE!</v>
      </c>
      <c r="AZ94" t="e">
        <f>AND('2015'!M118,"AAAAAFu1+zM=")</f>
        <v>#VALUE!</v>
      </c>
      <c r="BA94" t="e">
        <f>AND('2015'!N118,"AAAAAFu1+zQ=")</f>
        <v>#VALUE!</v>
      </c>
      <c r="BB94" t="e">
        <f>AND('2015'!O118,"AAAAAFu1+zU=")</f>
        <v>#VALUE!</v>
      </c>
      <c r="BC94" t="e">
        <f>AND('2015'!P118,"AAAAAFu1+zY=")</f>
        <v>#VALUE!</v>
      </c>
      <c r="BD94" t="e">
        <f>AND('2015'!Q118,"AAAAAFu1+zc=")</f>
        <v>#VALUE!</v>
      </c>
      <c r="BE94" t="e">
        <f>AND('2015'!R118,"AAAAAFu1+zg=")</f>
        <v>#VALUE!</v>
      </c>
      <c r="BF94" t="e">
        <f>AND('2015'!S118,"AAAAAFu1+zk=")</f>
        <v>#VALUE!</v>
      </c>
      <c r="BG94" t="e">
        <f>AND('2015'!T118,"AAAAAFu1+zo=")</f>
        <v>#VALUE!</v>
      </c>
      <c r="BH94" t="e">
        <f>AND('2015'!U118,"AAAAAFu1+zs=")</f>
        <v>#VALUE!</v>
      </c>
      <c r="BI94" t="e">
        <f>AND('2015'!V118,"AAAAAFu1+zw=")</f>
        <v>#VALUE!</v>
      </c>
      <c r="BJ94" t="e">
        <f>AND('2015'!W118,"AAAAAFu1+z0=")</f>
        <v>#VALUE!</v>
      </c>
      <c r="BK94" t="e">
        <f>AND('2015'!X118,"AAAAAFu1+z4=")</f>
        <v>#VALUE!</v>
      </c>
      <c r="BL94" t="e">
        <f>AND('2015'!Y118,"AAAAAFu1+z8=")</f>
        <v>#VALUE!</v>
      </c>
      <c r="BM94" t="e">
        <f>AND('2015'!Z118,"AAAAAFu1+0A=")</f>
        <v>#VALUE!</v>
      </c>
      <c r="BN94" t="e">
        <f>AND('2015'!AA118,"AAAAAFu1+0E=")</f>
        <v>#VALUE!</v>
      </c>
      <c r="BO94" t="e">
        <f>AND('2015'!AB118,"AAAAAFu1+0I=")</f>
        <v>#VALUE!</v>
      </c>
      <c r="BP94" t="e">
        <f>AND('2015'!AC118,"AAAAAFu1+0M=")</f>
        <v>#VALUE!</v>
      </c>
      <c r="BQ94" t="e">
        <f>AND('2015'!AD118,"AAAAAFu1+0Q=")</f>
        <v>#VALUE!</v>
      </c>
      <c r="BR94" t="e">
        <f>AND('2015'!AE118,"AAAAAFu1+0U=")</f>
        <v>#VALUE!</v>
      </c>
      <c r="BS94" t="e">
        <f>AND('2015'!AF118,"AAAAAFu1+0Y=")</f>
        <v>#VALUE!</v>
      </c>
      <c r="BT94" t="e">
        <f>AND('2015'!AG118,"AAAAAFu1+0c=")</f>
        <v>#VALUE!</v>
      </c>
      <c r="BU94" t="e">
        <f>AND('2015'!AH118,"AAAAAFu1+0g=")</f>
        <v>#VALUE!</v>
      </c>
      <c r="BV94" t="e">
        <f>AND('2015'!AI118,"AAAAAFu1+0k=")</f>
        <v>#VALUE!</v>
      </c>
      <c r="BW94" t="e">
        <f>AND('2015'!AJ118,"AAAAAFu1+0o=")</f>
        <v>#VALUE!</v>
      </c>
      <c r="BX94" t="e">
        <f>AND('2015'!AK118,"AAAAAFu1+0s=")</f>
        <v>#VALUE!</v>
      </c>
      <c r="BY94" t="e">
        <f>AND('2015'!AL118,"AAAAAFu1+0w=")</f>
        <v>#VALUE!</v>
      </c>
      <c r="BZ94" t="e">
        <f>AND('2015'!AM118,"AAAAAFu1+00=")</f>
        <v>#VALUE!</v>
      </c>
      <c r="CA94" t="e">
        <f>AND('2015'!AN118,"AAAAAFu1+04=")</f>
        <v>#VALUE!</v>
      </c>
      <c r="CB94" t="e">
        <f>AND('2015'!AO118,"AAAAAFu1+08=")</f>
        <v>#VALUE!</v>
      </c>
      <c r="CC94" t="e">
        <f>AND('2015'!AP118,"AAAAAFu1+1A=")</f>
        <v>#VALUE!</v>
      </c>
      <c r="CD94" t="e">
        <f>AND('2015'!AQ118,"AAAAAFu1+1E=")</f>
        <v>#VALUE!</v>
      </c>
      <c r="CE94" t="e">
        <f>AND('2015'!AR118,"AAAAAFu1+1I=")</f>
        <v>#VALUE!</v>
      </c>
      <c r="CF94" t="e">
        <f>AND('2015'!AS118,"AAAAAFu1+1M=")</f>
        <v>#VALUE!</v>
      </c>
      <c r="CG94" t="e">
        <f>AND('2015'!AT118,"AAAAAFu1+1Q=")</f>
        <v>#VALUE!</v>
      </c>
      <c r="CH94" t="e">
        <f>AND('2015'!#REF!,"AAAAAFu1+1U=")</f>
        <v>#REF!</v>
      </c>
      <c r="CI94" t="e">
        <f>AND('2015'!AU118,"AAAAAFu1+1Y=")</f>
        <v>#VALUE!</v>
      </c>
      <c r="CJ94" t="e">
        <f>AND('2015'!AV118,"AAAAAFu1+1c=")</f>
        <v>#VALUE!</v>
      </c>
      <c r="CK94" t="e">
        <f>AND('2015'!AW118,"AAAAAFu1+1g=")</f>
        <v>#VALUE!</v>
      </c>
      <c r="CL94" t="e">
        <f>AND('2015'!AX118,"AAAAAFu1+1k=")</f>
        <v>#VALUE!</v>
      </c>
      <c r="CM94" t="e">
        <f>AND('2015'!AY118,"AAAAAFu1+1o=")</f>
        <v>#VALUE!</v>
      </c>
      <c r="CN94" t="e">
        <f>AND('2015'!AZ118,"AAAAAFu1+1s=")</f>
        <v>#VALUE!</v>
      </c>
      <c r="CO94" t="e">
        <f>AND('2015'!BA118,"AAAAAFu1+1w=")</f>
        <v>#VALUE!</v>
      </c>
      <c r="CP94" t="e">
        <f>AND('2015'!BB118,"AAAAAFu1+10=")</f>
        <v>#VALUE!</v>
      </c>
      <c r="CQ94" t="e">
        <f>AND('2015'!BC118,"AAAAAFu1+14=")</f>
        <v>#VALUE!</v>
      </c>
      <c r="CR94" t="e">
        <f>AND('2015'!BD118,"AAAAAFu1+18=")</f>
        <v>#VALUE!</v>
      </c>
      <c r="CS94" t="e">
        <f>AND('2015'!BE118,"AAAAAFu1+2A=")</f>
        <v>#VALUE!</v>
      </c>
      <c r="CT94" t="e">
        <f>AND('2015'!BF118,"AAAAAFu1+2E=")</f>
        <v>#VALUE!</v>
      </c>
      <c r="CU94" t="e">
        <f>AND('2015'!BG118,"AAAAAFu1+2I=")</f>
        <v>#VALUE!</v>
      </c>
      <c r="CV94" t="e">
        <f>AND('2015'!BH118,"AAAAAFu1+2M=")</f>
        <v>#VALUE!</v>
      </c>
      <c r="CW94" t="e">
        <f>AND('2015'!BI118,"AAAAAFu1+2Q=")</f>
        <v>#VALUE!</v>
      </c>
      <c r="CX94" t="e">
        <f>AND('2015'!BJ118,"AAAAAFu1+2U=")</f>
        <v>#VALUE!</v>
      </c>
      <c r="CY94" t="e">
        <f>AND('2015'!BK118,"AAAAAFu1+2Y=")</f>
        <v>#VALUE!</v>
      </c>
      <c r="CZ94" t="e">
        <f>AND('2015'!BL118,"AAAAAFu1+2c=")</f>
        <v>#VALUE!</v>
      </c>
      <c r="DA94" t="e">
        <f>AND('2015'!BM118,"AAAAAFu1+2g=")</f>
        <v>#VALUE!</v>
      </c>
      <c r="DB94" t="e">
        <f>AND('2015'!BY118,"AAAAAFu1+2k=")</f>
        <v>#VALUE!</v>
      </c>
      <c r="DC94">
        <f>IF('2015'!119:119,"AAAAAFu1+2o=",0)</f>
        <v>0</v>
      </c>
      <c r="DD94" t="e">
        <f>AND('2015'!A119,"AAAAAFu1+2s=")</f>
        <v>#VALUE!</v>
      </c>
      <c r="DE94" t="e">
        <f>AND('2015'!B119,"AAAAAFu1+2w=")</f>
        <v>#VALUE!</v>
      </c>
      <c r="DF94" t="e">
        <f>AND('2015'!C119,"AAAAAFu1+20=")</f>
        <v>#VALUE!</v>
      </c>
      <c r="DG94" t="e">
        <f>AND('2015'!D119,"AAAAAFu1+24=")</f>
        <v>#VALUE!</v>
      </c>
      <c r="DH94" t="e">
        <f>AND('2015'!E119,"AAAAAFu1+28=")</f>
        <v>#VALUE!</v>
      </c>
      <c r="DI94" t="e">
        <f>AND('2015'!F119,"AAAAAFu1+3A=")</f>
        <v>#VALUE!</v>
      </c>
      <c r="DJ94" t="e">
        <f>AND('2015'!G119,"AAAAAFu1+3E=")</f>
        <v>#VALUE!</v>
      </c>
      <c r="DK94" t="e">
        <f>AND('2015'!H119,"AAAAAFu1+3I=")</f>
        <v>#VALUE!</v>
      </c>
      <c r="DL94" t="e">
        <f>AND('2015'!I119,"AAAAAFu1+3M=")</f>
        <v>#VALUE!</v>
      </c>
      <c r="DM94" t="e">
        <f>AND('2015'!J119,"AAAAAFu1+3Q=")</f>
        <v>#VALUE!</v>
      </c>
      <c r="DN94" t="e">
        <f>AND('2015'!K119,"AAAAAFu1+3U=")</f>
        <v>#VALUE!</v>
      </c>
      <c r="DO94" t="e">
        <f>AND('2015'!L119,"AAAAAFu1+3Y=")</f>
        <v>#VALUE!</v>
      </c>
      <c r="DP94" t="e">
        <f>AND('2015'!M119,"AAAAAFu1+3c=")</f>
        <v>#VALUE!</v>
      </c>
      <c r="DQ94" t="e">
        <f>AND('2015'!N119,"AAAAAFu1+3g=")</f>
        <v>#VALUE!</v>
      </c>
      <c r="DR94" t="e">
        <f>AND('2015'!O119,"AAAAAFu1+3k=")</f>
        <v>#VALUE!</v>
      </c>
      <c r="DS94" t="e">
        <f>AND('2015'!P119,"AAAAAFu1+3o=")</f>
        <v>#VALUE!</v>
      </c>
      <c r="DT94" t="e">
        <f>AND('2015'!Q119,"AAAAAFu1+3s=")</f>
        <v>#VALUE!</v>
      </c>
      <c r="DU94" t="e">
        <f>AND('2015'!R119,"AAAAAFu1+3w=")</f>
        <v>#VALUE!</v>
      </c>
      <c r="DV94" t="e">
        <f>AND('2015'!S119,"AAAAAFu1+30=")</f>
        <v>#VALUE!</v>
      </c>
      <c r="DW94" t="e">
        <f>AND('2015'!T119,"AAAAAFu1+34=")</f>
        <v>#VALUE!</v>
      </c>
      <c r="DX94" t="e">
        <f>AND('2015'!U119,"AAAAAFu1+38=")</f>
        <v>#VALUE!</v>
      </c>
      <c r="DY94" t="e">
        <f>AND('2015'!V119,"AAAAAFu1+4A=")</f>
        <v>#VALUE!</v>
      </c>
      <c r="DZ94" t="e">
        <f>AND('2015'!W119,"AAAAAFu1+4E=")</f>
        <v>#VALUE!</v>
      </c>
      <c r="EA94" t="e">
        <f>AND('2015'!X119,"AAAAAFu1+4I=")</f>
        <v>#VALUE!</v>
      </c>
      <c r="EB94" t="e">
        <f>AND('2015'!Y119,"AAAAAFu1+4M=")</f>
        <v>#VALUE!</v>
      </c>
      <c r="EC94" t="e">
        <f>AND('2015'!Z119,"AAAAAFu1+4Q=")</f>
        <v>#VALUE!</v>
      </c>
      <c r="ED94" t="e">
        <f>AND('2015'!AA119,"AAAAAFu1+4U=")</f>
        <v>#VALUE!</v>
      </c>
      <c r="EE94" t="e">
        <f>AND('2015'!AB119,"AAAAAFu1+4Y=")</f>
        <v>#VALUE!</v>
      </c>
      <c r="EF94" t="e">
        <f>AND('2015'!AC119,"AAAAAFu1+4c=")</f>
        <v>#VALUE!</v>
      </c>
      <c r="EG94" t="e">
        <f>AND('2015'!AD119,"AAAAAFu1+4g=")</f>
        <v>#VALUE!</v>
      </c>
      <c r="EH94" t="e">
        <f>AND('2015'!AE119,"AAAAAFu1+4k=")</f>
        <v>#VALUE!</v>
      </c>
      <c r="EI94" t="e">
        <f>AND('2015'!AF119,"AAAAAFu1+4o=")</f>
        <v>#VALUE!</v>
      </c>
      <c r="EJ94" t="e">
        <f>AND('2015'!AG119,"AAAAAFu1+4s=")</f>
        <v>#VALUE!</v>
      </c>
      <c r="EK94" t="e">
        <f>AND('2015'!AH119,"AAAAAFu1+4w=")</f>
        <v>#VALUE!</v>
      </c>
      <c r="EL94" t="e">
        <f>AND('2015'!AI119,"AAAAAFu1+40=")</f>
        <v>#VALUE!</v>
      </c>
      <c r="EM94" t="e">
        <f>AND('2015'!AJ119,"AAAAAFu1+44=")</f>
        <v>#VALUE!</v>
      </c>
      <c r="EN94" t="e">
        <f>AND('2015'!AK119,"AAAAAFu1+48=")</f>
        <v>#VALUE!</v>
      </c>
      <c r="EO94" t="e">
        <f>AND('2015'!AL119,"AAAAAFu1+5A=")</f>
        <v>#VALUE!</v>
      </c>
      <c r="EP94" t="e">
        <f>AND('2015'!AM119,"AAAAAFu1+5E=")</f>
        <v>#VALUE!</v>
      </c>
      <c r="EQ94" t="e">
        <f>AND('2015'!AN119,"AAAAAFu1+5I=")</f>
        <v>#VALUE!</v>
      </c>
      <c r="ER94" t="e">
        <f>AND('2015'!AO119,"AAAAAFu1+5M=")</f>
        <v>#VALUE!</v>
      </c>
      <c r="ES94" t="e">
        <f>AND('2015'!AP119,"AAAAAFu1+5Q=")</f>
        <v>#VALUE!</v>
      </c>
      <c r="ET94" t="e">
        <f>AND('2015'!AQ119,"AAAAAFu1+5U=")</f>
        <v>#VALUE!</v>
      </c>
      <c r="EU94" t="e">
        <f>AND('2015'!AR119,"AAAAAFu1+5Y=")</f>
        <v>#VALUE!</v>
      </c>
      <c r="EV94" t="e">
        <f>AND('2015'!AS119,"AAAAAFu1+5c=")</f>
        <v>#VALUE!</v>
      </c>
      <c r="EW94" t="e">
        <f>AND('2015'!AT119,"AAAAAFu1+5g=")</f>
        <v>#VALUE!</v>
      </c>
      <c r="EX94" t="e">
        <f>AND('2015'!#REF!,"AAAAAFu1+5k=")</f>
        <v>#REF!</v>
      </c>
      <c r="EY94" t="e">
        <f>AND('2015'!AU119,"AAAAAFu1+5o=")</f>
        <v>#VALUE!</v>
      </c>
      <c r="EZ94" t="e">
        <f>AND('2015'!AV119,"AAAAAFu1+5s=")</f>
        <v>#VALUE!</v>
      </c>
      <c r="FA94" t="e">
        <f>AND('2015'!AW119,"AAAAAFu1+5w=")</f>
        <v>#VALUE!</v>
      </c>
      <c r="FB94" t="e">
        <f>AND('2015'!AX119,"AAAAAFu1+50=")</f>
        <v>#VALUE!</v>
      </c>
      <c r="FC94" t="e">
        <f>AND('2015'!AY119,"AAAAAFu1+54=")</f>
        <v>#VALUE!</v>
      </c>
      <c r="FD94" t="e">
        <f>AND('2015'!AZ119,"AAAAAFu1+58=")</f>
        <v>#VALUE!</v>
      </c>
      <c r="FE94" t="e">
        <f>AND('2015'!BA119,"AAAAAFu1+6A=")</f>
        <v>#VALUE!</v>
      </c>
      <c r="FF94" t="e">
        <f>AND('2015'!BB119,"AAAAAFu1+6E=")</f>
        <v>#VALUE!</v>
      </c>
      <c r="FG94" t="e">
        <f>AND('2015'!BC119,"AAAAAFu1+6I=")</f>
        <v>#VALUE!</v>
      </c>
      <c r="FH94" t="e">
        <f>AND('2015'!BD119,"AAAAAFu1+6M=")</f>
        <v>#VALUE!</v>
      </c>
      <c r="FI94" t="e">
        <f>AND('2015'!BE119,"AAAAAFu1+6Q=")</f>
        <v>#VALUE!</v>
      </c>
      <c r="FJ94" t="e">
        <f>AND('2015'!BF119,"AAAAAFu1+6U=")</f>
        <v>#VALUE!</v>
      </c>
      <c r="FK94" t="e">
        <f>AND('2015'!BG119,"AAAAAFu1+6Y=")</f>
        <v>#VALUE!</v>
      </c>
      <c r="FL94" t="e">
        <f>AND('2015'!BH119,"AAAAAFu1+6c=")</f>
        <v>#VALUE!</v>
      </c>
      <c r="FM94" t="e">
        <f>AND('2015'!BI119,"AAAAAFu1+6g=")</f>
        <v>#VALUE!</v>
      </c>
      <c r="FN94" t="e">
        <f>AND('2015'!BJ119,"AAAAAFu1+6k=")</f>
        <v>#VALUE!</v>
      </c>
      <c r="FO94" t="e">
        <f>AND('2015'!BK119,"AAAAAFu1+6o=")</f>
        <v>#VALUE!</v>
      </c>
      <c r="FP94" t="e">
        <f>AND('2015'!BL119,"AAAAAFu1+6s=")</f>
        <v>#VALUE!</v>
      </c>
      <c r="FQ94" t="e">
        <f>AND('2015'!BM119,"AAAAAFu1+6w=")</f>
        <v>#VALUE!</v>
      </c>
      <c r="FR94" t="e">
        <f>AND('2015'!BY119,"AAAAAFu1+60=")</f>
        <v>#VALUE!</v>
      </c>
      <c r="FS94">
        <f>IF('2015'!26:26,"AAAAAFu1+64=",0)</f>
        <v>0</v>
      </c>
      <c r="FT94" t="e">
        <f>AND('2015'!A26,"AAAAAFu1+68=")</f>
        <v>#VALUE!</v>
      </c>
      <c r="FU94" t="e">
        <f>AND('2015'!B26,"AAAAAFu1+7A=")</f>
        <v>#VALUE!</v>
      </c>
      <c r="FV94" t="e">
        <f>AND('2015'!C26,"AAAAAFu1+7E=")</f>
        <v>#VALUE!</v>
      </c>
      <c r="FW94" t="e">
        <f>AND('2015'!D26,"AAAAAFu1+7I=")</f>
        <v>#VALUE!</v>
      </c>
      <c r="FX94" t="e">
        <f>AND('2015'!E26,"AAAAAFu1+7M=")</f>
        <v>#VALUE!</v>
      </c>
      <c r="FY94" t="e">
        <f>AND('2015'!F26,"AAAAAFu1+7Q=")</f>
        <v>#VALUE!</v>
      </c>
      <c r="FZ94" t="e">
        <f>AND('2015'!G26,"AAAAAFu1+7U=")</f>
        <v>#VALUE!</v>
      </c>
      <c r="GA94" t="e">
        <f>AND('2015'!H26,"AAAAAFu1+7Y=")</f>
        <v>#VALUE!</v>
      </c>
      <c r="GB94" t="e">
        <f>AND('2015'!I26,"AAAAAFu1+7c=")</f>
        <v>#VALUE!</v>
      </c>
      <c r="GC94" t="e">
        <f>AND('2015'!J26,"AAAAAFu1+7g=")</f>
        <v>#VALUE!</v>
      </c>
      <c r="GD94" t="e">
        <f>AND('2015'!K26,"AAAAAFu1+7k=")</f>
        <v>#VALUE!</v>
      </c>
      <c r="GE94" t="e">
        <f>AND('2015'!L26,"AAAAAFu1+7o=")</f>
        <v>#VALUE!</v>
      </c>
      <c r="GF94" t="e">
        <f>AND('2015'!M26,"AAAAAFu1+7s=")</f>
        <v>#VALUE!</v>
      </c>
      <c r="GG94" t="e">
        <f>AND('2015'!N26,"AAAAAFu1+7w=")</f>
        <v>#VALUE!</v>
      </c>
      <c r="GH94" t="e">
        <f>AND('2015'!O26,"AAAAAFu1+70=")</f>
        <v>#VALUE!</v>
      </c>
      <c r="GI94" t="e">
        <f>AND('2015'!P26,"AAAAAFu1+74=")</f>
        <v>#VALUE!</v>
      </c>
      <c r="GJ94" t="e">
        <f>AND('2015'!Q26,"AAAAAFu1+78=")</f>
        <v>#VALUE!</v>
      </c>
      <c r="GK94" t="e">
        <f>AND('2015'!R26,"AAAAAFu1+8A=")</f>
        <v>#VALUE!</v>
      </c>
      <c r="GL94" t="e">
        <f>AND('2015'!S26,"AAAAAFu1+8E=")</f>
        <v>#VALUE!</v>
      </c>
      <c r="GM94" t="e">
        <f>AND('2015'!T26,"AAAAAFu1+8I=")</f>
        <v>#VALUE!</v>
      </c>
      <c r="GN94" t="e">
        <f>AND('2015'!U26,"AAAAAFu1+8M=")</f>
        <v>#VALUE!</v>
      </c>
      <c r="GO94" t="e">
        <f>AND('2015'!V26,"AAAAAFu1+8Q=")</f>
        <v>#VALUE!</v>
      </c>
      <c r="GP94" t="e">
        <f>AND('2015'!W26,"AAAAAFu1+8U=")</f>
        <v>#VALUE!</v>
      </c>
      <c r="GQ94" t="e">
        <f>AND('2015'!X26,"AAAAAFu1+8Y=")</f>
        <v>#VALUE!</v>
      </c>
      <c r="GR94" t="e">
        <f>AND('2015'!Y26,"AAAAAFu1+8c=")</f>
        <v>#VALUE!</v>
      </c>
      <c r="GS94" t="e">
        <f>AND('2015'!Z26,"AAAAAFu1+8g=")</f>
        <v>#VALUE!</v>
      </c>
      <c r="GT94" t="e">
        <f>AND('2015'!AA26,"AAAAAFu1+8k=")</f>
        <v>#VALUE!</v>
      </c>
      <c r="GU94" t="e">
        <f>AND('2015'!AB26,"AAAAAFu1+8o=")</f>
        <v>#VALUE!</v>
      </c>
      <c r="GV94" t="e">
        <f>AND('2015'!AC26,"AAAAAFu1+8s=")</f>
        <v>#VALUE!</v>
      </c>
      <c r="GW94" t="e">
        <f>AND('2015'!AD26,"AAAAAFu1+8w=")</f>
        <v>#VALUE!</v>
      </c>
      <c r="GX94" t="e">
        <f>AND('2015'!AE26,"AAAAAFu1+80=")</f>
        <v>#VALUE!</v>
      </c>
      <c r="GY94" t="e">
        <f>AND('2015'!AF26,"AAAAAFu1+84=")</f>
        <v>#VALUE!</v>
      </c>
      <c r="GZ94" t="e">
        <f>AND('2015'!AG26,"AAAAAFu1+88=")</f>
        <v>#VALUE!</v>
      </c>
      <c r="HA94" t="e">
        <f>AND('2015'!AH26,"AAAAAFu1+9A=")</f>
        <v>#VALUE!</v>
      </c>
      <c r="HB94" t="e">
        <f>AND('2015'!AI26,"AAAAAFu1+9E=")</f>
        <v>#VALUE!</v>
      </c>
      <c r="HC94" t="e">
        <f>AND('2015'!AJ26,"AAAAAFu1+9I=")</f>
        <v>#VALUE!</v>
      </c>
      <c r="HD94" t="e">
        <f>AND('2015'!AK26,"AAAAAFu1+9M=")</f>
        <v>#VALUE!</v>
      </c>
      <c r="HE94" t="e">
        <f>AND('2015'!AL26,"AAAAAFu1+9Q=")</f>
        <v>#VALUE!</v>
      </c>
      <c r="HF94" t="e">
        <f>AND('2015'!AM26,"AAAAAFu1+9U=")</f>
        <v>#VALUE!</v>
      </c>
      <c r="HG94" t="e">
        <f>AND('2015'!AN26,"AAAAAFu1+9Y=")</f>
        <v>#VALUE!</v>
      </c>
      <c r="HH94" t="e">
        <f>AND('2015'!AO26,"AAAAAFu1+9c=")</f>
        <v>#VALUE!</v>
      </c>
      <c r="HI94" t="e">
        <f>AND('2015'!AP26,"AAAAAFu1+9g=")</f>
        <v>#VALUE!</v>
      </c>
      <c r="HJ94" t="e">
        <f>AND('2015'!AQ26,"AAAAAFu1+9k=")</f>
        <v>#VALUE!</v>
      </c>
      <c r="HK94" t="e">
        <f>AND('2015'!AR26,"AAAAAFu1+9o=")</f>
        <v>#VALUE!</v>
      </c>
      <c r="HL94" t="e">
        <f>AND('2015'!AS26,"AAAAAFu1+9s=")</f>
        <v>#VALUE!</v>
      </c>
      <c r="HM94" t="e">
        <f>AND('2015'!AT26,"AAAAAFu1+9w=")</f>
        <v>#VALUE!</v>
      </c>
      <c r="HN94" t="e">
        <f>AND('2015'!#REF!,"AAAAAFu1+90=")</f>
        <v>#REF!</v>
      </c>
      <c r="HO94" t="e">
        <f>AND('2015'!AU26,"AAAAAFu1+94=")</f>
        <v>#VALUE!</v>
      </c>
      <c r="HP94" t="e">
        <f>AND('2015'!AV26,"AAAAAFu1+98=")</f>
        <v>#VALUE!</v>
      </c>
      <c r="HQ94" t="e">
        <f>AND('2015'!AW26,"AAAAAFu1++A=")</f>
        <v>#VALUE!</v>
      </c>
      <c r="HR94" t="e">
        <f>AND('2015'!AX26,"AAAAAFu1++E=")</f>
        <v>#VALUE!</v>
      </c>
      <c r="HS94" t="e">
        <f>AND('2015'!AY26,"AAAAAFu1++I=")</f>
        <v>#VALUE!</v>
      </c>
      <c r="HT94" t="e">
        <f>AND('2015'!AZ26,"AAAAAFu1++M=")</f>
        <v>#VALUE!</v>
      </c>
      <c r="HU94" t="e">
        <f>AND('2015'!BA26,"AAAAAFu1++Q=")</f>
        <v>#VALUE!</v>
      </c>
      <c r="HV94" t="e">
        <f>AND('2015'!BB26,"AAAAAFu1++U=")</f>
        <v>#VALUE!</v>
      </c>
      <c r="HW94" t="e">
        <f>AND('2015'!BC26,"AAAAAFu1++Y=")</f>
        <v>#VALUE!</v>
      </c>
      <c r="HX94" t="e">
        <f>AND('2015'!BD26,"AAAAAFu1++c=")</f>
        <v>#VALUE!</v>
      </c>
      <c r="HY94" t="e">
        <f>AND('2015'!BE26,"AAAAAFu1++g=")</f>
        <v>#VALUE!</v>
      </c>
      <c r="HZ94" t="e">
        <f>AND('2015'!BF26,"AAAAAFu1++k=")</f>
        <v>#VALUE!</v>
      </c>
      <c r="IA94" t="e">
        <f>AND('2015'!BG26,"AAAAAFu1++o=")</f>
        <v>#VALUE!</v>
      </c>
      <c r="IB94" t="e">
        <f>AND('2015'!BH26,"AAAAAFu1++s=")</f>
        <v>#VALUE!</v>
      </c>
      <c r="IC94" t="e">
        <f>AND('2015'!BI26,"AAAAAFu1++w=")</f>
        <v>#VALUE!</v>
      </c>
      <c r="ID94" t="e">
        <f>AND('2015'!BJ26,"AAAAAFu1++0=")</f>
        <v>#VALUE!</v>
      </c>
      <c r="IE94" t="e">
        <f>AND('2015'!BK26,"AAAAAFu1++4=")</f>
        <v>#VALUE!</v>
      </c>
      <c r="IF94" t="e">
        <f>AND('2015'!BL26,"AAAAAFu1++8=")</f>
        <v>#VALUE!</v>
      </c>
      <c r="IG94" t="e">
        <f>AND('2015'!BM26,"AAAAAFu1+/A=")</f>
        <v>#VALUE!</v>
      </c>
      <c r="IH94" t="e">
        <f>AND('2015'!BY26,"AAAAAFu1+/E=")</f>
        <v>#VALUE!</v>
      </c>
      <c r="II94">
        <f>IF('2015'!29:29,"AAAAAFu1+/I=",0)</f>
        <v>0</v>
      </c>
      <c r="IJ94" t="e">
        <f>AND('2015'!A29,"AAAAAFu1+/M=")</f>
        <v>#VALUE!</v>
      </c>
      <c r="IK94" t="e">
        <f>AND('2015'!B29,"AAAAAFu1+/Q=")</f>
        <v>#VALUE!</v>
      </c>
      <c r="IL94" t="e">
        <f>AND('2015'!C29,"AAAAAFu1+/U=")</f>
        <v>#VALUE!</v>
      </c>
      <c r="IM94" t="e">
        <f>AND('2015'!D29,"AAAAAFu1+/Y=")</f>
        <v>#VALUE!</v>
      </c>
      <c r="IN94" t="e">
        <f>AND('2015'!E29,"AAAAAFu1+/c=")</f>
        <v>#VALUE!</v>
      </c>
      <c r="IO94" t="e">
        <f>AND('2015'!F29,"AAAAAFu1+/g=")</f>
        <v>#VALUE!</v>
      </c>
      <c r="IP94" t="e">
        <f>AND('2015'!G29,"AAAAAFu1+/k=")</f>
        <v>#VALUE!</v>
      </c>
      <c r="IQ94" t="e">
        <f>AND('2015'!H29,"AAAAAFu1+/o=")</f>
        <v>#VALUE!</v>
      </c>
      <c r="IR94" t="e">
        <f>AND('2015'!I29,"AAAAAFu1+/s=")</f>
        <v>#VALUE!</v>
      </c>
      <c r="IS94" t="e">
        <f>AND('2015'!J29,"AAAAAFu1+/w=")</f>
        <v>#VALUE!</v>
      </c>
      <c r="IT94" t="e">
        <f>AND('2015'!K29,"AAAAAFu1+/0=")</f>
        <v>#VALUE!</v>
      </c>
      <c r="IU94" t="e">
        <f>AND('2015'!L29,"AAAAAFu1+/4=")</f>
        <v>#VALUE!</v>
      </c>
      <c r="IV94" t="e">
        <f>AND('2015'!M29,"AAAAAFu1+/8=")</f>
        <v>#VALUE!</v>
      </c>
    </row>
    <row r="95" spans="1:256" x14ac:dyDescent="0.25">
      <c r="A95" t="e">
        <f>AND('2015'!N29,"AAAAAH+3ewA=")</f>
        <v>#VALUE!</v>
      </c>
      <c r="B95" t="e">
        <f>AND('2015'!O29,"AAAAAH+3ewE=")</f>
        <v>#VALUE!</v>
      </c>
      <c r="C95" t="e">
        <f>AND('2015'!P29,"AAAAAH+3ewI=")</f>
        <v>#VALUE!</v>
      </c>
      <c r="D95" t="e">
        <f>AND('2015'!Q29,"AAAAAH+3ewM=")</f>
        <v>#VALUE!</v>
      </c>
      <c r="E95" t="e">
        <f>AND('2015'!R29,"AAAAAH+3ewQ=")</f>
        <v>#VALUE!</v>
      </c>
      <c r="F95" t="e">
        <f>AND('2015'!S29,"AAAAAH+3ewU=")</f>
        <v>#VALUE!</v>
      </c>
      <c r="G95" t="e">
        <f>AND('2015'!T29,"AAAAAH+3ewY=")</f>
        <v>#VALUE!</v>
      </c>
      <c r="H95" t="e">
        <f>AND('2015'!U29,"AAAAAH+3ewc=")</f>
        <v>#VALUE!</v>
      </c>
      <c r="I95" t="e">
        <f>AND('2015'!V29,"AAAAAH+3ewg=")</f>
        <v>#VALUE!</v>
      </c>
      <c r="J95" t="e">
        <f>AND('2015'!W29,"AAAAAH+3ewk=")</f>
        <v>#VALUE!</v>
      </c>
      <c r="K95" t="e">
        <f>AND('2015'!X29,"AAAAAH+3ewo=")</f>
        <v>#VALUE!</v>
      </c>
      <c r="L95" t="e">
        <f>AND('2015'!Y29,"AAAAAH+3ews=")</f>
        <v>#VALUE!</v>
      </c>
      <c r="M95" t="e">
        <f>AND('2015'!Z29,"AAAAAH+3eww=")</f>
        <v>#VALUE!</v>
      </c>
      <c r="N95" t="e">
        <f>AND('2015'!AA29,"AAAAAH+3ew0=")</f>
        <v>#VALUE!</v>
      </c>
      <c r="O95" t="e">
        <f>AND('2015'!AB29,"AAAAAH+3ew4=")</f>
        <v>#VALUE!</v>
      </c>
      <c r="P95" t="e">
        <f>AND('2015'!AC29,"AAAAAH+3ew8=")</f>
        <v>#VALUE!</v>
      </c>
      <c r="Q95" t="e">
        <f>AND('2015'!AD29,"AAAAAH+3exA=")</f>
        <v>#VALUE!</v>
      </c>
      <c r="R95" t="e">
        <f>AND('2015'!AE29,"AAAAAH+3exE=")</f>
        <v>#VALUE!</v>
      </c>
      <c r="S95" t="e">
        <f>AND('2015'!AF29,"AAAAAH+3exI=")</f>
        <v>#VALUE!</v>
      </c>
      <c r="T95" t="e">
        <f>AND('2015'!AG29,"AAAAAH+3exM=")</f>
        <v>#VALUE!</v>
      </c>
      <c r="U95" t="e">
        <f>AND('2015'!AH29,"AAAAAH+3exQ=")</f>
        <v>#VALUE!</v>
      </c>
      <c r="V95" t="e">
        <f>AND('2015'!AI29,"AAAAAH+3exU=")</f>
        <v>#VALUE!</v>
      </c>
      <c r="W95" t="e">
        <f>AND('2015'!AJ29,"AAAAAH+3exY=")</f>
        <v>#VALUE!</v>
      </c>
      <c r="X95" t="e">
        <f>AND('2015'!AK29,"AAAAAH+3exc=")</f>
        <v>#VALUE!</v>
      </c>
      <c r="Y95" t="e">
        <f>AND('2015'!AL29,"AAAAAH+3exg=")</f>
        <v>#VALUE!</v>
      </c>
      <c r="Z95" t="e">
        <f>AND('2015'!AM29,"AAAAAH+3exk=")</f>
        <v>#VALUE!</v>
      </c>
      <c r="AA95" t="e">
        <f>AND('2015'!AN29,"AAAAAH+3exo=")</f>
        <v>#VALUE!</v>
      </c>
      <c r="AB95" t="e">
        <f>AND('2015'!AO29,"AAAAAH+3exs=")</f>
        <v>#VALUE!</v>
      </c>
      <c r="AC95" t="e">
        <f>AND('2015'!AP29,"AAAAAH+3exw=")</f>
        <v>#VALUE!</v>
      </c>
      <c r="AD95" t="e">
        <f>AND('2015'!AQ29,"AAAAAH+3ex0=")</f>
        <v>#VALUE!</v>
      </c>
      <c r="AE95" t="e">
        <f>AND('2015'!AR29,"AAAAAH+3ex4=")</f>
        <v>#VALUE!</v>
      </c>
      <c r="AF95" t="e">
        <f>AND('2015'!AS29,"AAAAAH+3ex8=")</f>
        <v>#VALUE!</v>
      </c>
      <c r="AG95" t="e">
        <f>AND('2015'!AT29,"AAAAAH+3eyA=")</f>
        <v>#VALUE!</v>
      </c>
      <c r="AH95" t="e">
        <f>AND('2015'!#REF!,"AAAAAH+3eyE=")</f>
        <v>#REF!</v>
      </c>
      <c r="AI95" t="e">
        <f>AND('2015'!AU29,"AAAAAH+3eyI=")</f>
        <v>#VALUE!</v>
      </c>
      <c r="AJ95" t="e">
        <f>AND('2015'!AV29,"AAAAAH+3eyM=")</f>
        <v>#VALUE!</v>
      </c>
      <c r="AK95" t="e">
        <f>AND('2015'!AW29,"AAAAAH+3eyQ=")</f>
        <v>#VALUE!</v>
      </c>
      <c r="AL95" t="e">
        <f>AND('2015'!AX29,"AAAAAH+3eyU=")</f>
        <v>#VALUE!</v>
      </c>
      <c r="AM95" t="e">
        <f>AND('2015'!AY29,"AAAAAH+3eyY=")</f>
        <v>#VALUE!</v>
      </c>
      <c r="AN95" t="e">
        <f>AND('2015'!AZ29,"AAAAAH+3eyc=")</f>
        <v>#VALUE!</v>
      </c>
      <c r="AO95" t="e">
        <f>AND('2015'!BA29,"AAAAAH+3eyg=")</f>
        <v>#VALUE!</v>
      </c>
      <c r="AP95" t="e">
        <f>AND('2015'!BB29,"AAAAAH+3eyk=")</f>
        <v>#VALUE!</v>
      </c>
      <c r="AQ95" t="e">
        <f>AND('2015'!BC29,"AAAAAH+3eyo=")</f>
        <v>#VALUE!</v>
      </c>
      <c r="AR95" t="e">
        <f>AND('2015'!BD29,"AAAAAH+3eys=")</f>
        <v>#VALUE!</v>
      </c>
      <c r="AS95" t="e">
        <f>AND('2015'!BE29,"AAAAAH+3eyw=")</f>
        <v>#VALUE!</v>
      </c>
      <c r="AT95" t="e">
        <f>AND('2015'!BF29,"AAAAAH+3ey0=")</f>
        <v>#VALUE!</v>
      </c>
      <c r="AU95" t="e">
        <f>AND('2015'!BG29,"AAAAAH+3ey4=")</f>
        <v>#VALUE!</v>
      </c>
      <c r="AV95" t="e">
        <f>AND('2015'!BH29,"AAAAAH+3ey8=")</f>
        <v>#VALUE!</v>
      </c>
      <c r="AW95" t="e">
        <f>AND('2015'!BI29,"AAAAAH+3ezA=")</f>
        <v>#VALUE!</v>
      </c>
      <c r="AX95" t="e">
        <f>AND('2015'!BJ29,"AAAAAH+3ezE=")</f>
        <v>#VALUE!</v>
      </c>
      <c r="AY95" t="e">
        <f>AND('2015'!BK29,"AAAAAH+3ezI=")</f>
        <v>#VALUE!</v>
      </c>
      <c r="AZ95" t="e">
        <f>AND('2015'!BL29,"AAAAAH+3ezM=")</f>
        <v>#VALUE!</v>
      </c>
      <c r="BA95" t="e">
        <f>AND('2015'!BM29,"AAAAAH+3ezQ=")</f>
        <v>#VALUE!</v>
      </c>
      <c r="BB95" t="e">
        <f>AND('2015'!BY29,"AAAAAH+3ezU=")</f>
        <v>#VALUE!</v>
      </c>
    </row>
    <row r="96" spans="1:256" x14ac:dyDescent="0.25">
      <c r="A96" t="e">
        <f>AND('2015'!D23,"AAAAAE5v/wA=")</f>
        <v>#VALUE!</v>
      </c>
      <c r="B96" t="e">
        <f>AND('2015'!A198,"AAAAAE5v/wE=")</f>
        <v>#VALUE!</v>
      </c>
      <c r="C96" t="e">
        <f>AND('2015'!B198,"AAAAAE5v/wI=")</f>
        <v>#VALUE!</v>
      </c>
      <c r="D96" t="e">
        <f>AND('2015'!C198,"AAAAAE5v/wM=")</f>
        <v>#VALUE!</v>
      </c>
      <c r="E96" t="e">
        <f>AND('2015'!D198,"AAAAAE5v/wQ=")</f>
        <v>#VALUE!</v>
      </c>
      <c r="F96" t="e">
        <f>AND('2015'!E198,"AAAAAE5v/wU=")</f>
        <v>#VALUE!</v>
      </c>
      <c r="G96" t="e">
        <f>AND('2015'!F198,"AAAAAE5v/wY=")</f>
        <v>#VALUE!</v>
      </c>
      <c r="H96" t="e">
        <f>AND('2015'!G198,"AAAAAE5v/wc=")</f>
        <v>#VALUE!</v>
      </c>
      <c r="I96" t="e">
        <f>AND('2015'!H198,"AAAAAE5v/wg=")</f>
        <v>#VALUE!</v>
      </c>
      <c r="J96" t="e">
        <f>AND('2015'!I198,"AAAAAE5v/wk=")</f>
        <v>#VALUE!</v>
      </c>
      <c r="K96" t="e">
        <f>AND('2015'!J198,"AAAAAE5v/wo=")</f>
        <v>#VALUE!</v>
      </c>
      <c r="L96" t="e">
        <f>AND('2015'!K198,"AAAAAE5v/ws=")</f>
        <v>#VALUE!</v>
      </c>
      <c r="M96" t="e">
        <f>AND('2015'!L198,"AAAAAE5v/ww=")</f>
        <v>#VALUE!</v>
      </c>
      <c r="N96" t="e">
        <f>AND('2015'!M198,"AAAAAE5v/w0=")</f>
        <v>#VALUE!</v>
      </c>
      <c r="O96" t="e">
        <f>AND('2015'!N198,"AAAAAE5v/w4=")</f>
        <v>#VALUE!</v>
      </c>
      <c r="P96" t="e">
        <f>AND('2015'!O198,"AAAAAE5v/w8=")</f>
        <v>#VALUE!</v>
      </c>
      <c r="Q96" t="e">
        <f>AND('2015'!P198,"AAAAAE5v/xA=")</f>
        <v>#VALUE!</v>
      </c>
      <c r="R96" t="e">
        <f>AND('2015'!Q198,"AAAAAE5v/xE=")</f>
        <v>#VALUE!</v>
      </c>
      <c r="S96" t="e">
        <f>AND('2015'!R198,"AAAAAE5v/xI=")</f>
        <v>#VALUE!</v>
      </c>
      <c r="T96" t="e">
        <f>AND('2015'!S198,"AAAAAE5v/xM=")</f>
        <v>#VALUE!</v>
      </c>
      <c r="U96" t="e">
        <f>AND('2015'!T198,"AAAAAE5v/xQ=")</f>
        <v>#VALUE!</v>
      </c>
      <c r="V96" t="e">
        <f>AND('2015'!U198,"AAAAAE5v/xU=")</f>
        <v>#VALUE!</v>
      </c>
      <c r="W96" t="e">
        <f>AND('2015'!V198,"AAAAAE5v/xY=")</f>
        <v>#VALUE!</v>
      </c>
      <c r="X96" t="e">
        <f>AND('2015'!W198,"AAAAAE5v/xc=")</f>
        <v>#VALUE!</v>
      </c>
      <c r="Y96" t="e">
        <f>AND('2015'!X198,"AAAAAE5v/xg=")</f>
        <v>#VALUE!</v>
      </c>
      <c r="Z96" t="e">
        <f>AND('2015'!Y198,"AAAAAE5v/xk=")</f>
        <v>#VALUE!</v>
      </c>
      <c r="AA96" t="e">
        <f>AND('2015'!Z198,"AAAAAE5v/xo=")</f>
        <v>#VALUE!</v>
      </c>
      <c r="AB96" t="e">
        <f>AND('2015'!AA198,"AAAAAE5v/xs=")</f>
        <v>#VALUE!</v>
      </c>
      <c r="AC96" t="e">
        <f>AND('2015'!AB198,"AAAAAE5v/xw=")</f>
        <v>#VALUE!</v>
      </c>
      <c r="AD96" t="e">
        <f>AND('2015'!AC198,"AAAAAE5v/x0=")</f>
        <v>#VALUE!</v>
      </c>
      <c r="AE96" t="e">
        <f>AND('2015'!AD198,"AAAAAE5v/x4=")</f>
        <v>#VALUE!</v>
      </c>
      <c r="AF96" t="e">
        <f>AND('2015'!AE198,"AAAAAE5v/x8=")</f>
        <v>#VALUE!</v>
      </c>
      <c r="AG96" t="e">
        <f>AND('2015'!AF198,"AAAAAE5v/yA=")</f>
        <v>#VALUE!</v>
      </c>
      <c r="AH96" t="e">
        <f>AND('2015'!AG198,"AAAAAE5v/yE=")</f>
        <v>#VALUE!</v>
      </c>
      <c r="AI96" t="e">
        <f>AND('2015'!AH198,"AAAAAE5v/yI=")</f>
        <v>#VALUE!</v>
      </c>
      <c r="AJ96" t="e">
        <f>AND('2015'!AI198,"AAAAAE5v/yM=")</f>
        <v>#VALUE!</v>
      </c>
      <c r="AK96" t="e">
        <f>AND('2015'!AJ198,"AAAAAE5v/yQ=")</f>
        <v>#VALUE!</v>
      </c>
      <c r="AL96" t="e">
        <f>AND('2015'!AK198,"AAAAAE5v/yU=")</f>
        <v>#VALUE!</v>
      </c>
      <c r="AM96" t="e">
        <f>AND('2015'!AL198,"AAAAAE5v/yY=")</f>
        <v>#VALUE!</v>
      </c>
      <c r="AN96" t="e">
        <f>AND('2015'!AM198,"AAAAAE5v/yc=")</f>
        <v>#VALUE!</v>
      </c>
      <c r="AO96" t="e">
        <f>AND('2015'!AN198,"AAAAAE5v/yg=")</f>
        <v>#VALUE!</v>
      </c>
      <c r="AP96" t="e">
        <f>AND('2015'!AO198,"AAAAAE5v/yk=")</f>
        <v>#VALUE!</v>
      </c>
      <c r="AQ96" t="e">
        <f>AND('2015'!AP198,"AAAAAE5v/yo=")</f>
        <v>#VALUE!</v>
      </c>
      <c r="AR96" t="e">
        <f>AND('2015'!AQ198,"AAAAAE5v/ys=")</f>
        <v>#VALUE!</v>
      </c>
      <c r="AS96" t="e">
        <f>AND('2015'!AR198,"AAAAAE5v/yw=")</f>
        <v>#VALUE!</v>
      </c>
      <c r="AT96" t="e">
        <f>AND('2015'!AS198,"AAAAAE5v/y0=")</f>
        <v>#VALUE!</v>
      </c>
      <c r="AU96" t="e">
        <f>AND('2015'!AT198,"AAAAAE5v/y4=")</f>
        <v>#VALUE!</v>
      </c>
      <c r="AV96" t="e">
        <f>AND('2015'!#REF!,"AAAAAE5v/y8=")</f>
        <v>#REF!</v>
      </c>
      <c r="AW96" t="e">
        <f>AND('2015'!AU198,"AAAAAE5v/zA=")</f>
        <v>#VALUE!</v>
      </c>
      <c r="AX96" t="e">
        <f>AND('2015'!AV198,"AAAAAE5v/zE=")</f>
        <v>#VALUE!</v>
      </c>
      <c r="AY96" t="e">
        <f>AND('2015'!AW198,"AAAAAE5v/zI=")</f>
        <v>#VALUE!</v>
      </c>
      <c r="AZ96" t="e">
        <f>AND('2015'!AX198,"AAAAAE5v/zM=")</f>
        <v>#VALUE!</v>
      </c>
      <c r="BA96" t="e">
        <f>AND('2015'!AY198,"AAAAAE5v/zQ=")</f>
        <v>#VALUE!</v>
      </c>
      <c r="BB96" t="e">
        <f>AND('2015'!AZ198,"AAAAAE5v/zU=")</f>
        <v>#VALUE!</v>
      </c>
      <c r="BC96" t="e">
        <f>AND('2015'!BA198,"AAAAAE5v/zY=")</f>
        <v>#VALUE!</v>
      </c>
      <c r="BD96" t="e">
        <f>AND('2015'!BB198,"AAAAAE5v/zc=")</f>
        <v>#VALUE!</v>
      </c>
      <c r="BE96" t="e">
        <f>AND('2015'!BC198,"AAAAAE5v/zg=")</f>
        <v>#VALUE!</v>
      </c>
      <c r="BF96" t="e">
        <f>AND('2015'!BD198,"AAAAAE5v/zk=")</f>
        <v>#VALUE!</v>
      </c>
      <c r="BG96" t="e">
        <f>AND('2015'!BE198,"AAAAAE5v/zo=")</f>
        <v>#VALUE!</v>
      </c>
      <c r="BH96" t="e">
        <f>AND('2015'!BF198,"AAAAAE5v/zs=")</f>
        <v>#VALUE!</v>
      </c>
      <c r="BI96" t="e">
        <f>AND('2015'!BG198,"AAAAAE5v/zw=")</f>
        <v>#VALUE!</v>
      </c>
      <c r="BJ96" t="e">
        <f>AND('2015'!BH198,"AAAAAE5v/z0=")</f>
        <v>#VALUE!</v>
      </c>
      <c r="BK96" t="e">
        <f>AND('2015'!BI198,"AAAAAE5v/z4=")</f>
        <v>#VALUE!</v>
      </c>
      <c r="BL96" t="e">
        <f>AND('2015'!BJ198,"AAAAAE5v/z8=")</f>
        <v>#VALUE!</v>
      </c>
      <c r="BM96" t="e">
        <f>AND('2015'!BK198,"AAAAAE5v/0A=")</f>
        <v>#VALUE!</v>
      </c>
      <c r="BN96" t="e">
        <f>AND('2015'!A199,"AAAAAE5v/0E=")</f>
        <v>#VALUE!</v>
      </c>
      <c r="BO96" t="e">
        <f>AND('2015'!B199,"AAAAAE5v/0I=")</f>
        <v>#VALUE!</v>
      </c>
      <c r="BP96" t="e">
        <f>AND('2015'!C199,"AAAAAE5v/0M=")</f>
        <v>#VALUE!</v>
      </c>
      <c r="BQ96" t="e">
        <f>AND('2015'!D199,"AAAAAE5v/0Q=")</f>
        <v>#VALUE!</v>
      </c>
      <c r="BR96" t="e">
        <f>AND('2015'!E199,"AAAAAE5v/0U=")</f>
        <v>#VALUE!</v>
      </c>
      <c r="BS96" t="e">
        <f>AND('2015'!F199,"AAAAAE5v/0Y=")</f>
        <v>#VALUE!</v>
      </c>
      <c r="BT96" t="e">
        <f>AND('2015'!G199,"AAAAAE5v/0c=")</f>
        <v>#VALUE!</v>
      </c>
      <c r="BU96" t="e">
        <f>AND('2015'!H199,"AAAAAE5v/0g=")</f>
        <v>#VALUE!</v>
      </c>
      <c r="BV96" t="e">
        <f>AND('2015'!I199,"AAAAAE5v/0k=")</f>
        <v>#VALUE!</v>
      </c>
      <c r="BW96" t="e">
        <f>AND('2015'!J199,"AAAAAE5v/0o=")</f>
        <v>#VALUE!</v>
      </c>
      <c r="BX96" t="e">
        <f>AND('2015'!K199,"AAAAAE5v/0s=")</f>
        <v>#VALUE!</v>
      </c>
      <c r="BY96" t="e">
        <f>AND('2015'!L199,"AAAAAE5v/0w=")</f>
        <v>#VALUE!</v>
      </c>
      <c r="BZ96" t="e">
        <f>AND('2015'!M199,"AAAAAE5v/00=")</f>
        <v>#VALUE!</v>
      </c>
      <c r="CA96" t="e">
        <f>AND('2015'!N199,"AAAAAE5v/04=")</f>
        <v>#VALUE!</v>
      </c>
      <c r="CB96" t="e">
        <f>AND('2015'!O199,"AAAAAE5v/08=")</f>
        <v>#VALUE!</v>
      </c>
      <c r="CC96" t="e">
        <f>AND('2015'!P199,"AAAAAE5v/1A=")</f>
        <v>#VALUE!</v>
      </c>
      <c r="CD96" t="e">
        <f>AND('2015'!Q199,"AAAAAE5v/1E=")</f>
        <v>#VALUE!</v>
      </c>
      <c r="CE96" t="e">
        <f>AND('2015'!R199,"AAAAAE5v/1I=")</f>
        <v>#VALUE!</v>
      </c>
      <c r="CF96" t="e">
        <f>AND('2015'!S199,"AAAAAE5v/1M=")</f>
        <v>#VALUE!</v>
      </c>
      <c r="CG96" t="e">
        <f>AND('2015'!T199,"AAAAAE5v/1Q=")</f>
        <v>#VALUE!</v>
      </c>
      <c r="CH96" t="e">
        <f>AND('2015'!U199,"AAAAAE5v/1U=")</f>
        <v>#VALUE!</v>
      </c>
      <c r="CI96" t="e">
        <f>AND('2015'!V199,"AAAAAE5v/1Y=")</f>
        <v>#VALUE!</v>
      </c>
      <c r="CJ96" t="e">
        <f>AND('2015'!W199,"AAAAAE5v/1c=")</f>
        <v>#VALUE!</v>
      </c>
      <c r="CK96" t="e">
        <f>AND('2015'!X199,"AAAAAE5v/1g=")</f>
        <v>#VALUE!</v>
      </c>
      <c r="CL96" t="e">
        <f>AND('2015'!Y199,"AAAAAE5v/1k=")</f>
        <v>#VALUE!</v>
      </c>
      <c r="CM96" t="e">
        <f>AND('2015'!Z199,"AAAAAE5v/1o=")</f>
        <v>#VALUE!</v>
      </c>
      <c r="CN96" t="e">
        <f>AND('2015'!AA199,"AAAAAE5v/1s=")</f>
        <v>#VALUE!</v>
      </c>
      <c r="CO96" t="e">
        <f>AND('2015'!AB199,"AAAAAE5v/1w=")</f>
        <v>#VALUE!</v>
      </c>
      <c r="CP96" t="e">
        <f>AND('2015'!AC199,"AAAAAE5v/10=")</f>
        <v>#VALUE!</v>
      </c>
      <c r="CQ96" t="e">
        <f>AND('2015'!AD199,"AAAAAE5v/14=")</f>
        <v>#VALUE!</v>
      </c>
      <c r="CR96" t="e">
        <f>AND('2015'!AE199,"AAAAAE5v/18=")</f>
        <v>#VALUE!</v>
      </c>
      <c r="CS96" t="e">
        <f>AND('2015'!AF199,"AAAAAE5v/2A=")</f>
        <v>#VALUE!</v>
      </c>
      <c r="CT96" t="e">
        <f>AND('2015'!AG199,"AAAAAE5v/2E=")</f>
        <v>#VALUE!</v>
      </c>
      <c r="CU96" t="e">
        <f>AND('2015'!AH199,"AAAAAE5v/2I=")</f>
        <v>#VALUE!</v>
      </c>
      <c r="CV96" t="e">
        <f>AND('2015'!AI199,"AAAAAE5v/2M=")</f>
        <v>#VALUE!</v>
      </c>
      <c r="CW96" t="e">
        <f>AND('2015'!AJ199,"AAAAAE5v/2Q=")</f>
        <v>#VALUE!</v>
      </c>
      <c r="CX96" t="e">
        <f>AND('2015'!AK199,"AAAAAE5v/2U=")</f>
        <v>#VALUE!</v>
      </c>
      <c r="CY96" t="e">
        <f>AND('2015'!AL199,"AAAAAE5v/2Y=")</f>
        <v>#VALUE!</v>
      </c>
      <c r="CZ96" t="e">
        <f>AND('2015'!AM199,"AAAAAE5v/2c=")</f>
        <v>#VALUE!</v>
      </c>
      <c r="DA96" t="e">
        <f>AND('2015'!AN199,"AAAAAE5v/2g=")</f>
        <v>#VALUE!</v>
      </c>
      <c r="DB96" t="e">
        <f>AND('2015'!AO199,"AAAAAE5v/2k=")</f>
        <v>#VALUE!</v>
      </c>
      <c r="DC96" t="e">
        <f>AND('2015'!AP199,"AAAAAE5v/2o=")</f>
        <v>#VALUE!</v>
      </c>
      <c r="DD96" t="e">
        <f>AND('2015'!AQ199,"AAAAAE5v/2s=")</f>
        <v>#VALUE!</v>
      </c>
      <c r="DE96" t="e">
        <f>AND('2015'!AR199,"AAAAAE5v/2w=")</f>
        <v>#VALUE!</v>
      </c>
      <c r="DF96" t="e">
        <f>AND('2015'!AS199,"AAAAAE5v/20=")</f>
        <v>#VALUE!</v>
      </c>
      <c r="DG96" t="e">
        <f>AND('2015'!AT199,"AAAAAE5v/24=")</f>
        <v>#VALUE!</v>
      </c>
      <c r="DH96" t="e">
        <f>AND('2015'!#REF!,"AAAAAE5v/28=")</f>
        <v>#REF!</v>
      </c>
      <c r="DI96" t="e">
        <f>AND('2015'!AU199,"AAAAAE5v/3A=")</f>
        <v>#VALUE!</v>
      </c>
      <c r="DJ96" t="e">
        <f>AND('2015'!AV199,"AAAAAE5v/3E=")</f>
        <v>#VALUE!</v>
      </c>
      <c r="DK96" t="e">
        <f>AND('2015'!AW199,"AAAAAE5v/3I=")</f>
        <v>#VALUE!</v>
      </c>
      <c r="DL96" t="e">
        <f>AND('2015'!AX199,"AAAAAE5v/3M=")</f>
        <v>#VALUE!</v>
      </c>
      <c r="DM96" t="e">
        <f>AND('2015'!AY199,"AAAAAE5v/3Q=")</f>
        <v>#VALUE!</v>
      </c>
      <c r="DN96" t="e">
        <f>AND('2015'!AZ199,"AAAAAE5v/3U=")</f>
        <v>#VALUE!</v>
      </c>
      <c r="DO96" t="e">
        <f>AND('2015'!BA199,"AAAAAE5v/3Y=")</f>
        <v>#VALUE!</v>
      </c>
      <c r="DP96" t="e">
        <f>AND('2015'!BB199,"AAAAAE5v/3c=")</f>
        <v>#VALUE!</v>
      </c>
      <c r="DQ96" t="e">
        <f>AND('2015'!BC199,"AAAAAE5v/3g=")</f>
        <v>#VALUE!</v>
      </c>
      <c r="DR96" t="e">
        <f>AND('2015'!BD199,"AAAAAE5v/3k=")</f>
        <v>#VALUE!</v>
      </c>
      <c r="DS96" t="e">
        <f>AND('2015'!BE199,"AAAAAE5v/3o=")</f>
        <v>#VALUE!</v>
      </c>
      <c r="DT96" t="e">
        <f>AND('2015'!BF199,"AAAAAE5v/3s=")</f>
        <v>#VALUE!</v>
      </c>
      <c r="DU96" t="e">
        <f>AND('2015'!BG199,"AAAAAE5v/3w=")</f>
        <v>#VALUE!</v>
      </c>
      <c r="DV96" t="e">
        <f>AND('2015'!BH199,"AAAAAE5v/30=")</f>
        <v>#VALUE!</v>
      </c>
      <c r="DW96" t="e">
        <f>AND('2015'!BI199,"AAAAAE5v/34=")</f>
        <v>#VALUE!</v>
      </c>
      <c r="DX96" t="e">
        <f>AND('2015'!BJ199,"AAAAAE5v/38=")</f>
        <v>#VALUE!</v>
      </c>
      <c r="DY96" t="e">
        <f>AND('2015'!BK199,"AAAAAE5v/4A=")</f>
        <v>#VALUE!</v>
      </c>
    </row>
    <row r="97" spans="1:200" x14ac:dyDescent="0.25">
      <c r="A97" t="e">
        <f>AND('2015'!#REF!,"AAAAAFnP/wA=")</f>
        <v>#REF!</v>
      </c>
      <c r="B97" t="e">
        <f>AND('2015'!#REF!,"AAAAAFnP/wE=")</f>
        <v>#REF!</v>
      </c>
      <c r="C97" t="e">
        <f>AND('2015'!#REF!,"AAAAAFnP/wI=")</f>
        <v>#REF!</v>
      </c>
      <c r="D97" t="e">
        <f>AND('2015'!#REF!,"AAAAAFnP/wM=")</f>
        <v>#REF!</v>
      </c>
      <c r="E97" t="e">
        <f>AND('2015'!#REF!,"AAAAAFnP/wQ=")</f>
        <v>#REF!</v>
      </c>
      <c r="F97" t="e">
        <f>AND('2015'!#REF!,"AAAAAFnP/wU=")</f>
        <v>#REF!</v>
      </c>
      <c r="G97" t="e">
        <f>AND('2015'!#REF!,"AAAAAFnP/wY=")</f>
        <v>#REF!</v>
      </c>
      <c r="H97" t="e">
        <f>AND('2015'!#REF!,"AAAAAFnP/wc=")</f>
        <v>#REF!</v>
      </c>
      <c r="I97" t="e">
        <f>AND('2015'!#REF!,"AAAAAFnP/wg=")</f>
        <v>#REF!</v>
      </c>
      <c r="J97" t="e">
        <f>AND('2015'!#REF!,"AAAAAFnP/wk=")</f>
        <v>#REF!</v>
      </c>
      <c r="K97" t="e">
        <f>AND('2015'!#REF!,"AAAAAFnP/wo=")</f>
        <v>#REF!</v>
      </c>
      <c r="L97" t="e">
        <f>AND('2015'!#REF!,"AAAAAFnP/ws=")</f>
        <v>#REF!</v>
      </c>
      <c r="M97" t="e">
        <f>AND('2015'!#REF!,"AAAAAFnP/ww=")</f>
        <v>#REF!</v>
      </c>
      <c r="N97" t="e">
        <f>AND('2015'!#REF!,"AAAAAFnP/w0=")</f>
        <v>#REF!</v>
      </c>
      <c r="O97" t="e">
        <f>AND('2015'!#REF!,"AAAAAFnP/w4=")</f>
        <v>#REF!</v>
      </c>
      <c r="P97" t="e">
        <f>AND('2015'!#REF!,"AAAAAFnP/w8=")</f>
        <v>#REF!</v>
      </c>
      <c r="Q97" t="e">
        <f>AND('2015'!#REF!,"AAAAAFnP/xA=")</f>
        <v>#REF!</v>
      </c>
      <c r="R97" t="e">
        <f>AND('2015'!#REF!,"AAAAAFnP/xE=")</f>
        <v>#REF!</v>
      </c>
      <c r="S97" t="e">
        <f>AND('2015'!#REF!,"AAAAAFnP/xI=")</f>
        <v>#REF!</v>
      </c>
      <c r="T97" t="e">
        <f>AND('2015'!#REF!,"AAAAAFnP/xM=")</f>
        <v>#REF!</v>
      </c>
      <c r="U97" t="e">
        <f>AND('2015'!#REF!,"AAAAAFnP/xQ=")</f>
        <v>#REF!</v>
      </c>
      <c r="V97" t="e">
        <f>AND('2015'!#REF!,"AAAAAFnP/xU=")</f>
        <v>#REF!</v>
      </c>
      <c r="W97" t="e">
        <f>AND('2015'!#REF!,"AAAAAFnP/xY=")</f>
        <v>#REF!</v>
      </c>
      <c r="X97" t="e">
        <f>AND('2015'!#REF!,"AAAAAFnP/xc=")</f>
        <v>#REF!</v>
      </c>
      <c r="Y97" t="e">
        <f>AND('2015'!#REF!,"AAAAAFnP/xg=")</f>
        <v>#REF!</v>
      </c>
      <c r="Z97" t="e">
        <f>AND('2015'!#REF!,"AAAAAFnP/xk=")</f>
        <v>#REF!</v>
      </c>
      <c r="AA97" t="e">
        <f>AND('2015'!#REF!,"AAAAAFnP/xo=")</f>
        <v>#REF!</v>
      </c>
      <c r="AB97" t="e">
        <f>AND('2015'!#REF!,"AAAAAFnP/xs=")</f>
        <v>#REF!</v>
      </c>
      <c r="AC97" t="e">
        <f>AND('2015'!#REF!,"AAAAAFnP/xw=")</f>
        <v>#REF!</v>
      </c>
      <c r="AD97" t="e">
        <f>AND('2015'!#REF!,"AAAAAFnP/x0=")</f>
        <v>#REF!</v>
      </c>
      <c r="AE97" t="e">
        <f>AND('2015'!#REF!,"AAAAAFnP/x4=")</f>
        <v>#REF!</v>
      </c>
      <c r="AF97" t="e">
        <f>AND('2015'!#REF!,"AAAAAFnP/x8=")</f>
        <v>#REF!</v>
      </c>
      <c r="AG97" t="e">
        <f>AND('2015'!#REF!,"AAAAAFnP/yA=")</f>
        <v>#REF!</v>
      </c>
      <c r="AH97" t="e">
        <f>AND('2015'!#REF!,"AAAAAFnP/yE=")</f>
        <v>#REF!</v>
      </c>
      <c r="AI97" t="e">
        <f>AND('2015'!#REF!,"AAAAAFnP/yI=")</f>
        <v>#REF!</v>
      </c>
      <c r="AJ97" t="e">
        <f>AND('2015'!#REF!,"AAAAAFnP/yM=")</f>
        <v>#REF!</v>
      </c>
      <c r="AK97" t="e">
        <f>AND('2015'!#REF!,"AAAAAFnP/yQ=")</f>
        <v>#REF!</v>
      </c>
      <c r="AL97" t="e">
        <f>AND('2015'!#REF!,"AAAAAFnP/yU=")</f>
        <v>#REF!</v>
      </c>
      <c r="AM97" t="e">
        <f>AND('2015'!#REF!,"AAAAAFnP/yY=")</f>
        <v>#REF!</v>
      </c>
      <c r="AN97" t="e">
        <f>AND('2015'!#REF!,"AAAAAFnP/yc=")</f>
        <v>#REF!</v>
      </c>
      <c r="AO97" t="e">
        <f>AND('2015'!#REF!,"AAAAAFnP/yg=")</f>
        <v>#REF!</v>
      </c>
      <c r="AP97" t="e">
        <f>AND('2015'!#REF!,"AAAAAFnP/yk=")</f>
        <v>#REF!</v>
      </c>
      <c r="AQ97" t="e">
        <f>AND('2015'!#REF!,"AAAAAFnP/yo=")</f>
        <v>#REF!</v>
      </c>
      <c r="AR97" t="e">
        <f>AND('2015'!#REF!,"AAAAAFnP/ys=")</f>
        <v>#REF!</v>
      </c>
      <c r="AS97" t="e">
        <f>AND('2015'!#REF!,"AAAAAFnP/yw=")</f>
        <v>#REF!</v>
      </c>
      <c r="AT97" t="e">
        <f>AND('2015'!#REF!,"AAAAAFnP/y0=")</f>
        <v>#REF!</v>
      </c>
      <c r="AU97" t="e">
        <f>AND('2015'!#REF!,"AAAAAFnP/y4=")</f>
        <v>#REF!</v>
      </c>
      <c r="AV97" t="e">
        <f>AND('2015'!#REF!,"AAAAAFnP/y8=")</f>
        <v>#REF!</v>
      </c>
      <c r="AW97" t="e">
        <f>AND('2015'!#REF!,"AAAAAFnP/zA=")</f>
        <v>#REF!</v>
      </c>
      <c r="AX97" t="e">
        <f>AND('2015'!#REF!,"AAAAAFnP/zE=")</f>
        <v>#REF!</v>
      </c>
      <c r="AY97" t="e">
        <f>AND('2015'!#REF!,"AAAAAFnP/zI=")</f>
        <v>#REF!</v>
      </c>
      <c r="AZ97" t="e">
        <f>AND('2015'!#REF!,"AAAAAFnP/zM=")</f>
        <v>#REF!</v>
      </c>
      <c r="BA97" t="e">
        <f>AND('2015'!#REF!,"AAAAAFnP/zQ=")</f>
        <v>#REF!</v>
      </c>
      <c r="BB97" t="e">
        <f>AND('2015'!#REF!,"AAAAAFnP/zU=")</f>
        <v>#REF!</v>
      </c>
      <c r="BC97" t="e">
        <f>AND('2015'!#REF!,"AAAAAFnP/zY=")</f>
        <v>#REF!</v>
      </c>
      <c r="BD97" t="e">
        <f>AND('2015'!#REF!,"AAAAAFnP/zc=")</f>
        <v>#REF!</v>
      </c>
      <c r="BE97" t="e">
        <f>AND('2015'!#REF!,"AAAAAFnP/zg=")</f>
        <v>#REF!</v>
      </c>
      <c r="BF97" t="e">
        <f>AND('2015'!#REF!,"AAAAAFnP/zk=")</f>
        <v>#REF!</v>
      </c>
      <c r="BG97" t="e">
        <f>AND('2015'!#REF!,"AAAAAFnP/zo=")</f>
        <v>#REF!</v>
      </c>
      <c r="BH97" t="e">
        <f>AND('2015'!#REF!,"AAAAAFnP/zs=")</f>
        <v>#REF!</v>
      </c>
      <c r="BI97" t="e">
        <f>AND('2015'!#REF!,"AAAAAFnP/zw=")</f>
        <v>#REF!</v>
      </c>
      <c r="BJ97" t="e">
        <f>AND('2015'!#REF!,"AAAAAFnP/z0=")</f>
        <v>#REF!</v>
      </c>
      <c r="BK97" t="e">
        <f>AND('2015'!#REF!,"AAAAAFnP/z4=")</f>
        <v>#REF!</v>
      </c>
      <c r="BL97" t="e">
        <f>AND('2015'!#REF!,"AAAAAFnP/z8=")</f>
        <v>#REF!</v>
      </c>
      <c r="BM97" t="e">
        <f>AND('2015'!#REF!,"AAAAAFnP/0A=")</f>
        <v>#REF!</v>
      </c>
      <c r="BN97" t="e">
        <f>AND('2015'!#REF!,"AAAAAFnP/0E=")</f>
        <v>#REF!</v>
      </c>
      <c r="BO97" t="e">
        <f>AND('2015'!#REF!,"AAAAAFnP/0I=")</f>
        <v>#REF!</v>
      </c>
      <c r="BP97" t="e">
        <f>AND('2015'!#REF!,"AAAAAFnP/0M=")</f>
        <v>#REF!</v>
      </c>
      <c r="BQ97" t="e">
        <f>AND('2015'!#REF!,"AAAAAFnP/0Q=")</f>
        <v>#REF!</v>
      </c>
      <c r="BR97" t="e">
        <f>AND('2015'!#REF!,"AAAAAFnP/0U=")</f>
        <v>#REF!</v>
      </c>
      <c r="BS97" t="e">
        <f>AND('2015'!#REF!,"AAAAAFnP/0Y=")</f>
        <v>#REF!</v>
      </c>
      <c r="BT97" t="e">
        <f>AND('2015'!#REF!,"AAAAAFnP/0c=")</f>
        <v>#REF!</v>
      </c>
      <c r="BU97" t="e">
        <f>AND('2015'!#REF!,"AAAAAFnP/0g=")</f>
        <v>#REF!</v>
      </c>
      <c r="BV97" t="e">
        <f>AND('2015'!#REF!,"AAAAAFnP/0k=")</f>
        <v>#REF!</v>
      </c>
      <c r="BW97" t="e">
        <f>AND('2015'!#REF!,"AAAAAFnP/0o=")</f>
        <v>#REF!</v>
      </c>
      <c r="BX97" t="e">
        <f>AND('2015'!#REF!,"AAAAAFnP/0s=")</f>
        <v>#REF!</v>
      </c>
      <c r="BY97" t="e">
        <f>AND('2015'!#REF!,"AAAAAFnP/0w=")</f>
        <v>#REF!</v>
      </c>
      <c r="BZ97" t="e">
        <f>AND('2015'!#REF!,"AAAAAFnP/00=")</f>
        <v>#REF!</v>
      </c>
      <c r="CA97" t="e">
        <f>AND('2015'!#REF!,"AAAAAFnP/04=")</f>
        <v>#REF!</v>
      </c>
      <c r="CB97" t="e">
        <f>AND('2015'!#REF!,"AAAAAFnP/08=")</f>
        <v>#REF!</v>
      </c>
      <c r="CC97" t="e">
        <f>AND('2015'!#REF!,"AAAAAFnP/1A=")</f>
        <v>#REF!</v>
      </c>
      <c r="CD97" t="e">
        <f>AND('2015'!#REF!,"AAAAAFnP/1E=")</f>
        <v>#REF!</v>
      </c>
      <c r="CE97" t="e">
        <f>AND('2015'!#REF!,"AAAAAFnP/1I=")</f>
        <v>#REF!</v>
      </c>
      <c r="CF97" t="e">
        <f>AND('2015'!#REF!,"AAAAAFnP/1M=")</f>
        <v>#REF!</v>
      </c>
      <c r="CG97" t="e">
        <f>AND('2015'!#REF!,"AAAAAFnP/1Q=")</f>
        <v>#REF!</v>
      </c>
      <c r="CH97" t="e">
        <f>AND('2015'!#REF!,"AAAAAFnP/1U=")</f>
        <v>#REF!</v>
      </c>
      <c r="CI97" t="e">
        <f>AND('2015'!#REF!,"AAAAAFnP/1Y=")</f>
        <v>#REF!</v>
      </c>
      <c r="CJ97" t="e">
        <f>AND('2015'!#REF!,"AAAAAFnP/1c=")</f>
        <v>#REF!</v>
      </c>
      <c r="CK97" t="e">
        <f>AND('2015'!#REF!,"AAAAAFnP/1g=")</f>
        <v>#REF!</v>
      </c>
      <c r="CL97" t="e">
        <f>AND('2015'!#REF!,"AAAAAFnP/1k=")</f>
        <v>#REF!</v>
      </c>
      <c r="CM97" t="e">
        <f>AND('2015'!#REF!,"AAAAAFnP/1o=")</f>
        <v>#REF!</v>
      </c>
      <c r="CN97" t="e">
        <f>AND('2015'!#REF!,"AAAAAFnP/1s=")</f>
        <v>#REF!</v>
      </c>
      <c r="CO97" t="e">
        <f>AND('2015'!#REF!,"AAAAAFnP/1w=")</f>
        <v>#REF!</v>
      </c>
      <c r="CP97" t="e">
        <f>AND('2015'!#REF!,"AAAAAFnP/10=")</f>
        <v>#REF!</v>
      </c>
      <c r="CQ97" t="e">
        <f>AND('2015'!#REF!,"AAAAAFnP/14=")</f>
        <v>#REF!</v>
      </c>
      <c r="CR97" t="e">
        <f>AND('2015'!#REF!,"AAAAAFnP/18=")</f>
        <v>#REF!</v>
      </c>
      <c r="CS97" t="e">
        <f>AND('2015'!#REF!,"AAAAAFnP/2A=")</f>
        <v>#REF!</v>
      </c>
      <c r="CT97" t="e">
        <f>AND('2015'!#REF!,"AAAAAFnP/2E=")</f>
        <v>#REF!</v>
      </c>
      <c r="CU97" t="e">
        <f>AND('2015'!#REF!,"AAAAAFnP/2I=")</f>
        <v>#REF!</v>
      </c>
      <c r="CV97" t="e">
        <f>AND('2015'!#REF!,"AAAAAFnP/2M=")</f>
        <v>#REF!</v>
      </c>
      <c r="CW97" t="e">
        <f>AND('2015'!#REF!,"AAAAAFnP/2Q=")</f>
        <v>#REF!</v>
      </c>
      <c r="CX97" t="e">
        <f>AND('2015'!#REF!,"AAAAAFnP/2U=")</f>
        <v>#REF!</v>
      </c>
      <c r="CY97" t="e">
        <f>AND('2015'!#REF!,"AAAAAFnP/2Y=")</f>
        <v>#REF!</v>
      </c>
      <c r="CZ97" t="e">
        <f>AND('2015'!#REF!,"AAAAAFnP/2c=")</f>
        <v>#REF!</v>
      </c>
      <c r="DA97" t="e">
        <f>AND('2015'!#REF!,"AAAAAFnP/2g=")</f>
        <v>#REF!</v>
      </c>
      <c r="DB97" t="e">
        <f>AND('2015'!#REF!,"AAAAAFnP/2k=")</f>
        <v>#REF!</v>
      </c>
      <c r="DC97" t="e">
        <f>AND('2015'!#REF!,"AAAAAFnP/2o=")</f>
        <v>#REF!</v>
      </c>
      <c r="DD97" t="e">
        <f>AND('2015'!#REF!,"AAAAAFnP/2s=")</f>
        <v>#REF!</v>
      </c>
      <c r="DE97" t="e">
        <f>AND('2015'!#REF!,"AAAAAFnP/2w=")</f>
        <v>#REF!</v>
      </c>
      <c r="DF97" t="e">
        <f>AND('2015'!#REF!,"AAAAAFnP/20=")</f>
        <v>#REF!</v>
      </c>
      <c r="DG97" t="e">
        <f>AND('2015'!#REF!,"AAAAAFnP/24=")</f>
        <v>#REF!</v>
      </c>
      <c r="DH97" t="e">
        <f>AND('2015'!#REF!,"AAAAAFnP/28=")</f>
        <v>#REF!</v>
      </c>
      <c r="DI97" t="e">
        <f>AND('2015'!#REF!,"AAAAAFnP/3A=")</f>
        <v>#REF!</v>
      </c>
      <c r="DJ97" t="e">
        <f>AND('2015'!#REF!,"AAAAAFnP/3E=")</f>
        <v>#REF!</v>
      </c>
      <c r="DK97" t="e">
        <f>AND('2015'!#REF!,"AAAAAFnP/3I=")</f>
        <v>#REF!</v>
      </c>
      <c r="DL97" t="e">
        <f>AND('2015'!#REF!,"AAAAAFnP/3M=")</f>
        <v>#REF!</v>
      </c>
      <c r="DM97" t="e">
        <f>AND('2015'!#REF!,"AAAAAFnP/3Q=")</f>
        <v>#REF!</v>
      </c>
      <c r="DN97" t="e">
        <f>AND('2015'!#REF!,"AAAAAFnP/3U=")</f>
        <v>#REF!</v>
      </c>
      <c r="DO97" t="e">
        <f>AND('2015'!#REF!,"AAAAAFnP/3Y=")</f>
        <v>#REF!</v>
      </c>
      <c r="DP97" t="e">
        <f>AND('2015'!#REF!,"AAAAAFnP/3c=")</f>
        <v>#REF!</v>
      </c>
      <c r="DQ97" t="e">
        <f>AND('2015'!#REF!,"AAAAAFnP/3g=")</f>
        <v>#REF!</v>
      </c>
      <c r="DR97" t="e">
        <f>AND('2015'!#REF!,"AAAAAFnP/3k=")</f>
        <v>#REF!</v>
      </c>
      <c r="DS97" t="e">
        <f>AND('2015'!#REF!,"AAAAAFnP/3o=")</f>
        <v>#REF!</v>
      </c>
      <c r="DT97" t="e">
        <f>AND('2015'!#REF!,"AAAAAFnP/3s=")</f>
        <v>#REF!</v>
      </c>
      <c r="DU97" t="e">
        <f>AND('2015'!#REF!,"AAAAAFnP/3w=")</f>
        <v>#REF!</v>
      </c>
      <c r="DV97" t="e">
        <f>AND('2015'!#REF!,"AAAAAFnP/30=")</f>
        <v>#REF!</v>
      </c>
      <c r="DW97" t="e">
        <f>AND('2015'!#REF!,"AAAAAFnP/34=")</f>
        <v>#REF!</v>
      </c>
      <c r="DX97" t="e">
        <f>AND('2015'!#REF!,"AAAAAFnP/38=")</f>
        <v>#REF!</v>
      </c>
      <c r="DY97" t="e">
        <f>AND('2015'!#REF!,"AAAAAFnP/4A=")</f>
        <v>#REF!</v>
      </c>
      <c r="DZ97" t="e">
        <f>AND('2015'!#REF!,"AAAAAFnP/4E=")</f>
        <v>#REF!</v>
      </c>
      <c r="EA97" t="e">
        <f>AND('2015'!#REF!,"AAAAAFnP/4I=")</f>
        <v>#REF!</v>
      </c>
      <c r="EB97" t="e">
        <f>AND('2015'!#REF!,"AAAAAFnP/4M=")</f>
        <v>#REF!</v>
      </c>
      <c r="EC97" t="e">
        <f>AND('2015'!#REF!,"AAAAAFnP/4Q=")</f>
        <v>#REF!</v>
      </c>
      <c r="ED97" t="e">
        <f>AND('2015'!#REF!,"AAAAAFnP/4U=")</f>
        <v>#REF!</v>
      </c>
      <c r="EE97" t="e">
        <f>AND('2015'!#REF!,"AAAAAFnP/4Y=")</f>
        <v>#REF!</v>
      </c>
      <c r="EF97" t="e">
        <f>AND('2015'!#REF!,"AAAAAFnP/4c=")</f>
        <v>#REF!</v>
      </c>
      <c r="EG97" t="e">
        <f>AND('2015'!#REF!,"AAAAAFnP/4g=")</f>
        <v>#REF!</v>
      </c>
      <c r="EH97" t="e">
        <f>AND('2015'!#REF!,"AAAAAFnP/4k=")</f>
        <v>#REF!</v>
      </c>
      <c r="EI97" t="e">
        <f>AND('2015'!#REF!,"AAAAAFnP/4o=")</f>
        <v>#REF!</v>
      </c>
      <c r="EJ97" t="e">
        <f>AND('2015'!#REF!,"AAAAAFnP/4s=")</f>
        <v>#REF!</v>
      </c>
      <c r="EK97" t="e">
        <f>AND('2015'!#REF!,"AAAAAFnP/4w=")</f>
        <v>#REF!</v>
      </c>
      <c r="EL97" t="e">
        <f>AND('2015'!#REF!,"AAAAAFnP/40=")</f>
        <v>#REF!</v>
      </c>
      <c r="EM97" t="e">
        <f>AND('2015'!#REF!,"AAAAAFnP/44=")</f>
        <v>#REF!</v>
      </c>
      <c r="EN97" t="e">
        <f>AND('2015'!#REF!,"AAAAAFnP/48=")</f>
        <v>#REF!</v>
      </c>
      <c r="EO97" t="e">
        <f>AND('2015'!#REF!,"AAAAAFnP/5A=")</f>
        <v>#REF!</v>
      </c>
      <c r="EP97" t="e">
        <f>AND('2015'!#REF!,"AAAAAFnP/5E=")</f>
        <v>#REF!</v>
      </c>
      <c r="EQ97" t="e">
        <f>AND('2015'!#REF!,"AAAAAFnP/5I=")</f>
        <v>#REF!</v>
      </c>
      <c r="ER97" t="e">
        <f>AND('2015'!#REF!,"AAAAAFnP/5M=")</f>
        <v>#REF!</v>
      </c>
      <c r="ES97" t="e">
        <f>AND('2015'!#REF!,"AAAAAFnP/5Q=")</f>
        <v>#REF!</v>
      </c>
      <c r="ET97" t="e">
        <f>AND('2015'!#REF!,"AAAAAFnP/5U=")</f>
        <v>#REF!</v>
      </c>
      <c r="EU97" t="e">
        <f>AND('2015'!#REF!,"AAAAAFnP/5Y=")</f>
        <v>#REF!</v>
      </c>
      <c r="EV97" t="e">
        <f>AND('2015'!#REF!,"AAAAAFnP/5c=")</f>
        <v>#REF!</v>
      </c>
      <c r="EW97" t="e">
        <f>AND('2015'!#REF!,"AAAAAFnP/5g=")</f>
        <v>#REF!</v>
      </c>
      <c r="EX97" t="e">
        <f>AND('2015'!#REF!,"AAAAAFnP/5k=")</f>
        <v>#REF!</v>
      </c>
      <c r="EY97" t="e">
        <f>AND('2015'!#REF!,"AAAAAFnP/5o=")</f>
        <v>#REF!</v>
      </c>
      <c r="EZ97" t="e">
        <f>AND('2015'!#REF!,"AAAAAFnP/5s=")</f>
        <v>#REF!</v>
      </c>
      <c r="FA97" t="e">
        <f>AND('2015'!#REF!,"AAAAAFnP/5w=")</f>
        <v>#REF!</v>
      </c>
      <c r="FB97" t="e">
        <f>AND('2015'!#REF!,"AAAAAFnP/50=")</f>
        <v>#REF!</v>
      </c>
      <c r="FC97" t="e">
        <f>AND('2015'!#REF!,"AAAAAFnP/54=")</f>
        <v>#REF!</v>
      </c>
      <c r="FD97" t="e">
        <f>AND('2015'!#REF!,"AAAAAFnP/58=")</f>
        <v>#REF!</v>
      </c>
      <c r="FE97" t="e">
        <f>AND('2015'!#REF!,"AAAAAFnP/6A=")</f>
        <v>#REF!</v>
      </c>
      <c r="FF97" t="e">
        <f>AND('2015'!#REF!,"AAAAAFnP/6E=")</f>
        <v>#REF!</v>
      </c>
      <c r="FG97" t="e">
        <f>AND('2015'!#REF!,"AAAAAFnP/6I=")</f>
        <v>#REF!</v>
      </c>
      <c r="FH97" t="e">
        <f>AND('2015'!#REF!,"AAAAAFnP/6M=")</f>
        <v>#REF!</v>
      </c>
      <c r="FI97" t="e">
        <f>AND('2015'!#REF!,"AAAAAFnP/6Q=")</f>
        <v>#REF!</v>
      </c>
      <c r="FJ97" t="e">
        <f>AND('2015'!#REF!,"AAAAAFnP/6U=")</f>
        <v>#REF!</v>
      </c>
      <c r="FK97" t="e">
        <f>AND('2015'!#REF!,"AAAAAFnP/6Y=")</f>
        <v>#REF!</v>
      </c>
      <c r="FL97" t="e">
        <f>AND('2015'!#REF!,"AAAAAFnP/6c=")</f>
        <v>#REF!</v>
      </c>
      <c r="FM97" t="e">
        <f>AND('2015'!#REF!,"AAAAAFnP/6g=")</f>
        <v>#REF!</v>
      </c>
      <c r="FN97" t="e">
        <f>AND('2015'!#REF!,"AAAAAFnP/6k=")</f>
        <v>#REF!</v>
      </c>
      <c r="FO97" t="e">
        <f>AND('2015'!#REF!,"AAAAAFnP/6o=")</f>
        <v>#REF!</v>
      </c>
      <c r="FP97" t="e">
        <f>AND('2015'!#REF!,"AAAAAFnP/6s=")</f>
        <v>#REF!</v>
      </c>
      <c r="FQ97" t="e">
        <f>AND('2015'!#REF!,"AAAAAFnP/6w=")</f>
        <v>#REF!</v>
      </c>
      <c r="FR97" t="e">
        <f>AND('2015'!#REF!,"AAAAAFnP/60=")</f>
        <v>#REF!</v>
      </c>
      <c r="FS97" t="e">
        <f>AND('2015'!#REF!,"AAAAAFnP/64=")</f>
        <v>#REF!</v>
      </c>
      <c r="FT97" t="e">
        <f>AND('2015'!#REF!,"AAAAAFnP/68=")</f>
        <v>#REF!</v>
      </c>
      <c r="FU97" t="e">
        <f>AND('2015'!#REF!,"AAAAAFnP/7A=")</f>
        <v>#REF!</v>
      </c>
      <c r="FV97" t="e">
        <f>AND('2015'!#REF!,"AAAAAFnP/7E=")</f>
        <v>#REF!</v>
      </c>
      <c r="FW97" t="e">
        <f>AND('2015'!#REF!,"AAAAAFnP/7I=")</f>
        <v>#REF!</v>
      </c>
      <c r="FX97" t="e">
        <f>AND('2015'!#REF!,"AAAAAFnP/7M=")</f>
        <v>#REF!</v>
      </c>
      <c r="FY97" t="e">
        <f>AND('2015'!#REF!,"AAAAAFnP/7Q=")</f>
        <v>#REF!</v>
      </c>
      <c r="FZ97" t="e">
        <f>AND('2015'!#REF!,"AAAAAFnP/7U=")</f>
        <v>#REF!</v>
      </c>
      <c r="GA97" t="e">
        <f>AND('2015'!#REF!,"AAAAAFnP/7Y=")</f>
        <v>#REF!</v>
      </c>
      <c r="GB97" t="e">
        <f>AND('2015'!#REF!,"AAAAAFnP/7c=")</f>
        <v>#REF!</v>
      </c>
      <c r="GC97" t="e">
        <f>AND('2015'!#REF!,"AAAAAFnP/7g=")</f>
        <v>#REF!</v>
      </c>
      <c r="GD97" t="e">
        <f>AND('2015'!#REF!,"AAAAAFnP/7k=")</f>
        <v>#REF!</v>
      </c>
      <c r="GE97" t="e">
        <f>AND('2015'!#REF!,"AAAAAFnP/7o=")</f>
        <v>#REF!</v>
      </c>
      <c r="GF97" t="e">
        <f>AND('2015'!#REF!,"AAAAAFnP/7s=")</f>
        <v>#REF!</v>
      </c>
      <c r="GG97" t="e">
        <f>AND('2015'!#REF!,"AAAAAFnP/7w=")</f>
        <v>#REF!</v>
      </c>
      <c r="GH97" t="e">
        <f>AND('2015'!#REF!,"AAAAAFnP/70=")</f>
        <v>#REF!</v>
      </c>
      <c r="GI97" t="e">
        <f>AND('2015'!#REF!,"AAAAAFnP/74=")</f>
        <v>#REF!</v>
      </c>
      <c r="GJ97" t="e">
        <f>AND('2015'!#REF!,"AAAAAFnP/78=")</f>
        <v>#REF!</v>
      </c>
      <c r="GK97" t="e">
        <f>AND('2015'!#REF!,"AAAAAFnP/8A=")</f>
        <v>#REF!</v>
      </c>
      <c r="GL97" t="e">
        <f>AND('2015'!#REF!,"AAAAAFnP/8E=")</f>
        <v>#REF!</v>
      </c>
      <c r="GM97" t="e">
        <f>AND('2015'!#REF!,"AAAAAFnP/8I=")</f>
        <v>#REF!</v>
      </c>
      <c r="GN97" t="e">
        <f>AND('2015'!#REF!,"AAAAAFnP/8M=")</f>
        <v>#REF!</v>
      </c>
      <c r="GO97" t="e">
        <f>AND('2015'!#REF!,"AAAAAFnP/8Q=")</f>
        <v>#REF!</v>
      </c>
      <c r="GP97" t="e">
        <f>IF('2015'!#REF!,"AAAAAFnP/8U=",0)</f>
        <v>#REF!</v>
      </c>
    </row>
    <row r="98" spans="1:200" x14ac:dyDescent="0.25">
      <c r="A98" t="e">
        <f>AND('2015'!BN1,"AAAAAH279gA=")</f>
        <v>#VALUE!</v>
      </c>
      <c r="B98" t="e">
        <f>AND('2015'!#REF!,"AAAAAH279gE=")</f>
        <v>#REF!</v>
      </c>
      <c r="C98" t="e">
        <f>AND('2015'!BN2,"AAAAAH279gI=")</f>
        <v>#VALUE!</v>
      </c>
      <c r="D98" t="e">
        <f>AND('2015'!BN3,"AAAAAH279gM=")</f>
        <v>#VALUE!</v>
      </c>
      <c r="E98" t="e">
        <f>AND('2015'!BN4,"AAAAAH279gQ=")</f>
        <v>#VALUE!</v>
      </c>
      <c r="F98" t="e">
        <f>AND('2015'!BN5,"AAAAAH279gU=")</f>
        <v>#VALUE!</v>
      </c>
      <c r="G98" t="e">
        <f>AND('2015'!BN6,"AAAAAH279gY=")</f>
        <v>#VALUE!</v>
      </c>
      <c r="H98" t="e">
        <f>AND('2015'!BN7,"AAAAAH279gc=")</f>
        <v>#VALUE!</v>
      </c>
      <c r="I98" t="e">
        <f>AND('2015'!BN8,"AAAAAH279gg=")</f>
        <v>#VALUE!</v>
      </c>
      <c r="J98" t="e">
        <f>AND('2015'!BN9,"AAAAAH279gk=")</f>
        <v>#VALUE!</v>
      </c>
      <c r="K98" t="e">
        <f>AND('2015'!BN10,"AAAAAH279go=")</f>
        <v>#VALUE!</v>
      </c>
      <c r="L98" t="e">
        <f>AND('2015'!BN11,"AAAAAH279gs=")</f>
        <v>#VALUE!</v>
      </c>
      <c r="M98" t="e">
        <f>AND('2015'!BN12,"AAAAAH279gw=")</f>
        <v>#VALUE!</v>
      </c>
      <c r="N98" t="e">
        <f>AND('2015'!BN13,"AAAAAH279g0=")</f>
        <v>#VALUE!</v>
      </c>
      <c r="O98" t="e">
        <f>AND('2015'!BN19,"AAAAAH279g4=")</f>
        <v>#VALUE!</v>
      </c>
      <c r="P98" t="e">
        <f>AND('2015'!BN20,"AAAAAH279g8=")</f>
        <v>#VALUE!</v>
      </c>
      <c r="Q98" t="e">
        <f>AND('2015'!BN21,"AAAAAH279hA=")</f>
        <v>#VALUE!</v>
      </c>
      <c r="R98" t="e">
        <f>AND('2015'!#REF!,"AAAAAH279hE=")</f>
        <v>#REF!</v>
      </c>
      <c r="S98" t="e">
        <f>AND('2015'!BN22,"AAAAAH279hI=")</f>
        <v>#VALUE!</v>
      </c>
      <c r="T98" t="e">
        <f>AND('2015'!#REF!,"AAAAAH279hM=")</f>
        <v>#REF!</v>
      </c>
      <c r="U98" t="e">
        <f>AND('2015'!BN24,"AAAAAH279hQ=")</f>
        <v>#VALUE!</v>
      </c>
      <c r="V98" t="e">
        <f>AND('2015'!BN25,"AAAAAH279hU=")</f>
        <v>#VALUE!</v>
      </c>
      <c r="W98" t="e">
        <f>AND('2015'!BN30,"AAAAAH279hY=")</f>
        <v>#VALUE!</v>
      </c>
      <c r="X98" t="e">
        <f>AND('2015'!BN31,"AAAAAH279hc=")</f>
        <v>#VALUE!</v>
      </c>
      <c r="Y98" t="e">
        <f>AND('2015'!BN32,"AAAAAH279hg=")</f>
        <v>#VALUE!</v>
      </c>
      <c r="Z98" t="e">
        <f>AND('2015'!BN23,"AAAAAH279hk=")</f>
        <v>#VALUE!</v>
      </c>
      <c r="AA98" t="e">
        <f>AND('2015'!BN185,"AAAAAH279ho=")</f>
        <v>#VALUE!</v>
      </c>
      <c r="AB98" t="e">
        <f>AND('2015'!BN186,"AAAAAH279hs=")</f>
        <v>#VALUE!</v>
      </c>
      <c r="AC98" t="e">
        <f>AND('2015'!BN188,"AAAAAH279hw=")</f>
        <v>#VALUE!</v>
      </c>
      <c r="AD98" t="e">
        <f>AND('2015'!BN33,"AAAAAH279h0=")</f>
        <v>#VALUE!</v>
      </c>
      <c r="AE98" t="e">
        <f>AND('2015'!BN34,"AAAAAH279h4=")</f>
        <v>#VALUE!</v>
      </c>
      <c r="AF98" t="e">
        <f>AND('2015'!BN35,"AAAAAH279h8=")</f>
        <v>#VALUE!</v>
      </c>
      <c r="AG98" t="e">
        <f>AND('2015'!BN36,"AAAAAH279iA=")</f>
        <v>#VALUE!</v>
      </c>
      <c r="AH98" t="e">
        <f>AND('2015'!BN37,"AAAAAH279iE=")</f>
        <v>#VALUE!</v>
      </c>
      <c r="AI98" t="e">
        <f>AND('2015'!BN38,"AAAAAH279iI=")</f>
        <v>#VALUE!</v>
      </c>
      <c r="AJ98" t="e">
        <f>AND('2015'!BN39,"AAAAAH279iM=")</f>
        <v>#VALUE!</v>
      </c>
      <c r="AK98" t="e">
        <f>AND('2015'!BN40,"AAAAAH279iQ=")</f>
        <v>#VALUE!</v>
      </c>
      <c r="AL98" t="e">
        <f>AND('2015'!BN41,"AAAAAH279iU=")</f>
        <v>#VALUE!</v>
      </c>
      <c r="AM98" t="e">
        <f>AND('2015'!BN42,"AAAAAH279iY=")</f>
        <v>#VALUE!</v>
      </c>
      <c r="AN98" t="e">
        <f>AND('2015'!BN43,"AAAAAH279ic=")</f>
        <v>#VALUE!</v>
      </c>
      <c r="AO98" t="e">
        <f>AND('2015'!BN44,"AAAAAH279ig=")</f>
        <v>#VALUE!</v>
      </c>
      <c r="AP98" t="e">
        <f>AND('2015'!BN45,"AAAAAH279ik=")</f>
        <v>#VALUE!</v>
      </c>
      <c r="AQ98" t="e">
        <f>AND('2015'!BN46,"AAAAAH279io=")</f>
        <v>#VALUE!</v>
      </c>
      <c r="AR98" t="e">
        <f>AND('2015'!BN47,"AAAAAH279is=")</f>
        <v>#VALUE!</v>
      </c>
      <c r="AS98" t="e">
        <f>AND('2015'!BN48,"AAAAAH279iw=")</f>
        <v>#VALUE!</v>
      </c>
      <c r="AT98" t="e">
        <f>AND('2015'!BN49,"AAAAAH279i0=")</f>
        <v>#VALUE!</v>
      </c>
      <c r="AU98" t="e">
        <f>AND('2015'!BN50,"AAAAAH279i4=")</f>
        <v>#VALUE!</v>
      </c>
      <c r="AV98" t="e">
        <f>AND('2015'!BN51,"AAAAAH279i8=")</f>
        <v>#VALUE!</v>
      </c>
      <c r="AW98" t="e">
        <f>AND('2015'!BN52,"AAAAAH279jA=")</f>
        <v>#VALUE!</v>
      </c>
      <c r="AX98" t="e">
        <f>AND('2015'!BN53,"AAAAAH279jE=")</f>
        <v>#VALUE!</v>
      </c>
      <c r="AY98" t="e">
        <f>AND('2015'!BN54,"AAAAAH279jI=")</f>
        <v>#VALUE!</v>
      </c>
      <c r="AZ98" t="e">
        <f>AND('2015'!BN55,"AAAAAH279jM=")</f>
        <v>#VALUE!</v>
      </c>
      <c r="BA98" t="e">
        <f>AND('2015'!BN56,"AAAAAH279jQ=")</f>
        <v>#VALUE!</v>
      </c>
      <c r="BB98" t="e">
        <f>AND('2015'!BN57,"AAAAAH279jU=")</f>
        <v>#VALUE!</v>
      </c>
      <c r="BC98" t="e">
        <f>AND('2015'!BN58,"AAAAAH279jY=")</f>
        <v>#VALUE!</v>
      </c>
      <c r="BD98" t="e">
        <f>AND('2015'!BN59,"AAAAAH279jc=")</f>
        <v>#VALUE!</v>
      </c>
      <c r="BE98" t="e">
        <f>AND('2015'!BN60,"AAAAAH279jg=")</f>
        <v>#VALUE!</v>
      </c>
      <c r="BF98" t="e">
        <f>AND('2015'!BN61,"AAAAAH279jk=")</f>
        <v>#VALUE!</v>
      </c>
      <c r="BG98" t="e">
        <f>AND('2015'!BN62,"AAAAAH279jo=")</f>
        <v>#VALUE!</v>
      </c>
      <c r="BH98" t="e">
        <f>AND('2015'!BN63,"AAAAAH279js=")</f>
        <v>#VALUE!</v>
      </c>
      <c r="BI98" t="e">
        <f>AND('2015'!BN64,"AAAAAH279jw=")</f>
        <v>#VALUE!</v>
      </c>
      <c r="BJ98" t="e">
        <f>AND('2015'!BN65,"AAAAAH279j0=")</f>
        <v>#VALUE!</v>
      </c>
      <c r="BK98" t="e">
        <f>AND('2015'!BN66,"AAAAAH279j4=")</f>
        <v>#VALUE!</v>
      </c>
      <c r="BL98" t="e">
        <f>AND('2015'!BN67,"AAAAAH279j8=")</f>
        <v>#VALUE!</v>
      </c>
      <c r="BM98" t="e">
        <f>AND('2015'!BN68,"AAAAAH279kA=")</f>
        <v>#VALUE!</v>
      </c>
      <c r="BN98" t="e">
        <f>AND('2015'!BN69,"AAAAAH279kE=")</f>
        <v>#VALUE!</v>
      </c>
      <c r="BO98" t="e">
        <f>AND('2015'!BN70,"AAAAAH279kI=")</f>
        <v>#VALUE!</v>
      </c>
      <c r="BP98" t="e">
        <f>AND('2015'!BN71,"AAAAAH279kM=")</f>
        <v>#VALUE!</v>
      </c>
      <c r="BQ98" t="e">
        <f>AND('2015'!BN72,"AAAAAH279kQ=")</f>
        <v>#VALUE!</v>
      </c>
      <c r="BR98" t="e">
        <f>AND('2015'!BN73,"AAAAAH279kU=")</f>
        <v>#VALUE!</v>
      </c>
      <c r="BS98" t="e">
        <f>AND('2015'!BN74,"AAAAAH279kY=")</f>
        <v>#VALUE!</v>
      </c>
      <c r="BT98" t="e">
        <f>AND('2015'!BN75,"AAAAAH279kc=")</f>
        <v>#VALUE!</v>
      </c>
      <c r="BU98" t="e">
        <f>AND('2015'!BN76,"AAAAAH279kg=")</f>
        <v>#VALUE!</v>
      </c>
      <c r="BV98" t="e">
        <f>AND('2015'!BN77,"AAAAAH279kk=")</f>
        <v>#VALUE!</v>
      </c>
      <c r="BW98" t="e">
        <f>AND('2015'!BN78,"AAAAAH279ko=")</f>
        <v>#VALUE!</v>
      </c>
      <c r="BX98" t="e">
        <f>AND('2015'!BN79,"AAAAAH279ks=")</f>
        <v>#VALUE!</v>
      </c>
      <c r="BY98" t="e">
        <f>AND('2015'!BN80,"AAAAAH279kw=")</f>
        <v>#VALUE!</v>
      </c>
      <c r="BZ98" t="e">
        <f>AND('2015'!BN16,"AAAAAH279k0=")</f>
        <v>#VALUE!</v>
      </c>
      <c r="CA98" t="e">
        <f>AND('2015'!BN17,"AAAAAH279k4=")</f>
        <v>#VALUE!</v>
      </c>
      <c r="CB98" t="e">
        <f>AND('2015'!BN81,"AAAAAH279k8=")</f>
        <v>#VALUE!</v>
      </c>
      <c r="CC98" t="e">
        <f>AND('2015'!BN82,"AAAAAH279lA=")</f>
        <v>#VALUE!</v>
      </c>
      <c r="CD98" t="e">
        <f>AND('2015'!BN83,"AAAAAH279lE=")</f>
        <v>#VALUE!</v>
      </c>
      <c r="CE98" t="e">
        <f>AND('2015'!BN84,"AAAAAH279lI=")</f>
        <v>#VALUE!</v>
      </c>
      <c r="CF98" t="e">
        <f>AND('2015'!BN85,"AAAAAH279lM=")</f>
        <v>#VALUE!</v>
      </c>
      <c r="CG98" t="e">
        <f>AND('2015'!BN86,"AAAAAH279lQ=")</f>
        <v>#VALUE!</v>
      </c>
      <c r="CH98" t="e">
        <f>AND('2015'!BN87,"AAAAAH279lU=")</f>
        <v>#VALUE!</v>
      </c>
      <c r="CI98" t="e">
        <f>AND('2015'!BN88,"AAAAAH279lY=")</f>
        <v>#VALUE!</v>
      </c>
      <c r="CJ98" t="e">
        <f>AND('2015'!BN89,"AAAAAH279lc=")</f>
        <v>#VALUE!</v>
      </c>
      <c r="CK98" t="e">
        <f>AND('2015'!BN90,"AAAAAH279lg=")</f>
        <v>#VALUE!</v>
      </c>
      <c r="CL98" t="e">
        <f>AND('2015'!BN91,"AAAAAH279lk=")</f>
        <v>#VALUE!</v>
      </c>
      <c r="CM98" t="e">
        <f>AND('2015'!BN92,"AAAAAH279lo=")</f>
        <v>#VALUE!</v>
      </c>
      <c r="CN98" t="e">
        <f>AND('2015'!BN93,"AAAAAH279ls=")</f>
        <v>#VALUE!</v>
      </c>
      <c r="CO98" t="e">
        <f>AND('2015'!#REF!,"AAAAAH279lw=")</f>
        <v>#REF!</v>
      </c>
      <c r="CP98" t="e">
        <f>AND('2015'!BN94,"AAAAAH279l0=")</f>
        <v>#VALUE!</v>
      </c>
      <c r="CQ98" t="e">
        <f>AND('2015'!BN95,"AAAAAH279l4=")</f>
        <v>#VALUE!</v>
      </c>
      <c r="CR98" t="e">
        <f>AND('2015'!BN96,"AAAAAH279l8=")</f>
        <v>#VALUE!</v>
      </c>
      <c r="CS98" t="e">
        <f>AND('2015'!BN97,"AAAAAH279mA=")</f>
        <v>#VALUE!</v>
      </c>
      <c r="CT98" t="e">
        <f>AND('2015'!BN98,"AAAAAH279mE=")</f>
        <v>#VALUE!</v>
      </c>
      <c r="CU98" t="e">
        <f>AND('2015'!BN99,"AAAAAH279mI=")</f>
        <v>#VALUE!</v>
      </c>
      <c r="CV98" t="e">
        <f>AND('2015'!BN100,"AAAAAH279mM=")</f>
        <v>#VALUE!</v>
      </c>
      <c r="CW98" t="e">
        <f>AND('2015'!BN101,"AAAAAH279mQ=")</f>
        <v>#VALUE!</v>
      </c>
      <c r="CX98" t="e">
        <f>AND('2015'!BN102,"AAAAAH279mU=")</f>
        <v>#VALUE!</v>
      </c>
      <c r="CY98" t="e">
        <f>AND('2015'!BN103,"AAAAAH279mY=")</f>
        <v>#VALUE!</v>
      </c>
      <c r="CZ98" t="e">
        <f>AND('2015'!BN104,"AAAAAH279mc=")</f>
        <v>#VALUE!</v>
      </c>
      <c r="DA98" t="e">
        <f>AND('2015'!BN187,"AAAAAH279mg=")</f>
        <v>#VALUE!</v>
      </c>
      <c r="DB98" t="e">
        <f>AND('2015'!BN105,"AAAAAH279mk=")</f>
        <v>#VALUE!</v>
      </c>
      <c r="DC98" t="e">
        <f>AND('2015'!BN106,"AAAAAH279mo=")</f>
        <v>#VALUE!</v>
      </c>
      <c r="DD98" t="e">
        <f>AND('2015'!BN107,"AAAAAH279ms=")</f>
        <v>#VALUE!</v>
      </c>
      <c r="DE98" t="e">
        <f>AND('2015'!BN108,"AAAAAH279mw=")</f>
        <v>#VALUE!</v>
      </c>
      <c r="DF98" t="e">
        <f>AND('2015'!BN109,"AAAAAH279m0=")</f>
        <v>#VALUE!</v>
      </c>
      <c r="DG98" t="e">
        <f>AND('2015'!BN110,"AAAAAH279m4=")</f>
        <v>#VALUE!</v>
      </c>
      <c r="DH98" t="e">
        <f>AND('2015'!BN111,"AAAAAH279m8=")</f>
        <v>#VALUE!</v>
      </c>
      <c r="DI98" t="e">
        <f>AND('2015'!BN112,"AAAAAH279nA=")</f>
        <v>#VALUE!</v>
      </c>
      <c r="DJ98" t="e">
        <f>AND('2015'!BN113,"AAAAAH279nE=")</f>
        <v>#VALUE!</v>
      </c>
      <c r="DK98" t="e">
        <f>AND('2015'!BN114,"AAAAAH279nI=")</f>
        <v>#VALUE!</v>
      </c>
      <c r="DL98" t="e">
        <f>AND('2015'!BN115,"AAAAAH279nM=")</f>
        <v>#VALUE!</v>
      </c>
      <c r="DM98" t="e">
        <f>AND('2015'!BN116,"AAAAAH279nQ=")</f>
        <v>#VALUE!</v>
      </c>
      <c r="DN98" t="e">
        <f>AND('2015'!BN117,"AAAAAH279nU=")</f>
        <v>#VALUE!</v>
      </c>
      <c r="DO98" t="e">
        <f>AND('2015'!BN118,"AAAAAH279nY=")</f>
        <v>#VALUE!</v>
      </c>
      <c r="DP98" t="e">
        <f>AND('2015'!BN119,"AAAAAH279nc=")</f>
        <v>#VALUE!</v>
      </c>
      <c r="DQ98" t="e">
        <f>AND('2015'!BN120,"AAAAAH279ng=")</f>
        <v>#VALUE!</v>
      </c>
      <c r="DR98" t="e">
        <f>AND('2015'!BN121,"AAAAAH279nk=")</f>
        <v>#VALUE!</v>
      </c>
      <c r="DS98" t="e">
        <f>AND('2015'!BN122,"AAAAAH279no=")</f>
        <v>#VALUE!</v>
      </c>
      <c r="DT98" t="e">
        <f>AND('2015'!BN123,"AAAAAH279ns=")</f>
        <v>#VALUE!</v>
      </c>
      <c r="DU98" t="e">
        <f>AND('2015'!BN124,"AAAAAH279nw=")</f>
        <v>#VALUE!</v>
      </c>
      <c r="DV98" t="e">
        <f>AND('2015'!BN125,"AAAAAH279n0=")</f>
        <v>#VALUE!</v>
      </c>
      <c r="DW98" t="e">
        <f>AND('2015'!BN126,"AAAAAH279n4=")</f>
        <v>#VALUE!</v>
      </c>
      <c r="DX98" t="e">
        <f>AND('2015'!BN127,"AAAAAH279n8=")</f>
        <v>#VALUE!</v>
      </c>
      <c r="DY98" t="e">
        <f>AND('2015'!BN128,"AAAAAH279oA=")</f>
        <v>#VALUE!</v>
      </c>
      <c r="DZ98" t="e">
        <f>AND('2015'!BN129,"AAAAAH279oE=")</f>
        <v>#VALUE!</v>
      </c>
      <c r="EA98" t="e">
        <f>AND('2015'!BN130,"AAAAAH279oI=")</f>
        <v>#VALUE!</v>
      </c>
      <c r="EB98" t="e">
        <f>AND('2015'!BN131,"AAAAAH279oM=")</f>
        <v>#VALUE!</v>
      </c>
      <c r="EC98" t="e">
        <f>AND('2015'!BN132,"AAAAAH279oQ=")</f>
        <v>#VALUE!</v>
      </c>
      <c r="ED98" t="e">
        <f>AND('2015'!BN133,"AAAAAH279oU=")</f>
        <v>#VALUE!</v>
      </c>
      <c r="EE98" t="e">
        <f>AND('2015'!BN134,"AAAAAH279oY=")</f>
        <v>#VALUE!</v>
      </c>
      <c r="EF98" t="e">
        <f>AND('2015'!BN135,"AAAAAH279oc=")</f>
        <v>#VALUE!</v>
      </c>
      <c r="EG98" t="e">
        <f>AND('2015'!BN136,"AAAAAH279og=")</f>
        <v>#VALUE!</v>
      </c>
      <c r="EH98" t="e">
        <f>AND('2015'!BN137,"AAAAAH279ok=")</f>
        <v>#VALUE!</v>
      </c>
      <c r="EI98" t="e">
        <f>AND('2015'!BN138,"AAAAAH279oo=")</f>
        <v>#VALUE!</v>
      </c>
      <c r="EJ98" t="e">
        <f>AND('2015'!BN139,"AAAAAH279os=")</f>
        <v>#VALUE!</v>
      </c>
      <c r="EK98" t="e">
        <f>AND('2015'!BN140,"AAAAAH279ow=")</f>
        <v>#VALUE!</v>
      </c>
      <c r="EL98" t="e">
        <f>AND('2015'!BN141,"AAAAAH279o0=")</f>
        <v>#VALUE!</v>
      </c>
      <c r="EM98" t="e">
        <f>AND('2015'!BN142,"AAAAAH279o4=")</f>
        <v>#VALUE!</v>
      </c>
      <c r="EN98" t="e">
        <f>AND('2015'!BN143,"AAAAAH279o8=")</f>
        <v>#VALUE!</v>
      </c>
      <c r="EO98" t="e">
        <f>AND('2015'!BN144,"AAAAAH279pA=")</f>
        <v>#VALUE!</v>
      </c>
      <c r="EP98" t="e">
        <f>AND('2015'!BN145,"AAAAAH279pE=")</f>
        <v>#VALUE!</v>
      </c>
      <c r="EQ98" t="e">
        <f>AND('2015'!BN146,"AAAAAH279pI=")</f>
        <v>#VALUE!</v>
      </c>
      <c r="ER98" t="e">
        <f>AND('2015'!BN147,"AAAAAH279pM=")</f>
        <v>#VALUE!</v>
      </c>
      <c r="ES98" t="e">
        <f>AND('2015'!BN148,"AAAAAH279pQ=")</f>
        <v>#VALUE!</v>
      </c>
      <c r="ET98" t="e">
        <f>AND('2015'!BN149,"AAAAAH279pU=")</f>
        <v>#VALUE!</v>
      </c>
      <c r="EU98" t="e">
        <f>AND('2015'!BN150,"AAAAAH279pY=")</f>
        <v>#VALUE!</v>
      </c>
      <c r="EV98" t="e">
        <f>AND('2015'!BN151,"AAAAAH279pc=")</f>
        <v>#VALUE!</v>
      </c>
      <c r="EW98" t="e">
        <f>AND('2015'!BN152,"AAAAAH279pg=")</f>
        <v>#VALUE!</v>
      </c>
      <c r="EX98" t="e">
        <f>AND('2015'!BN153,"AAAAAH279pk=")</f>
        <v>#VALUE!</v>
      </c>
      <c r="EY98" t="e">
        <f>AND('2015'!BN154,"AAAAAH279po=")</f>
        <v>#VALUE!</v>
      </c>
      <c r="EZ98" t="e">
        <f>AND('2015'!BN155,"AAAAAH279ps=")</f>
        <v>#VALUE!</v>
      </c>
      <c r="FA98" t="e">
        <f>AND('2015'!BN156,"AAAAAH279pw=")</f>
        <v>#VALUE!</v>
      </c>
      <c r="FB98" t="e">
        <f>AND('2015'!BN157,"AAAAAH279p0=")</f>
        <v>#VALUE!</v>
      </c>
      <c r="FC98" t="e">
        <f>AND('2015'!BN158,"AAAAAH279p4=")</f>
        <v>#VALUE!</v>
      </c>
      <c r="FD98" t="e">
        <f>AND('2015'!BN159,"AAAAAH279p8=")</f>
        <v>#VALUE!</v>
      </c>
      <c r="FE98" t="e">
        <f>AND('2015'!BN160,"AAAAAH279qA=")</f>
        <v>#VALUE!</v>
      </c>
      <c r="FF98" t="e">
        <f>AND('2015'!BN161,"AAAAAH279qE=")</f>
        <v>#VALUE!</v>
      </c>
      <c r="FG98" t="e">
        <f>AND('2015'!BN162,"AAAAAH279qI=")</f>
        <v>#VALUE!</v>
      </c>
      <c r="FH98" t="e">
        <f>AND('2015'!BN163,"AAAAAH279qM=")</f>
        <v>#VALUE!</v>
      </c>
      <c r="FI98" t="e">
        <f>AND('2015'!BN164,"AAAAAH279qQ=")</f>
        <v>#VALUE!</v>
      </c>
      <c r="FJ98" t="e">
        <f>AND('2015'!BN165,"AAAAAH279qU=")</f>
        <v>#VALUE!</v>
      </c>
      <c r="FK98" t="e">
        <f>AND('2015'!BN166,"AAAAAH279qY=")</f>
        <v>#VALUE!</v>
      </c>
      <c r="FL98" t="e">
        <f>AND('2015'!BN167,"AAAAAH279qc=")</f>
        <v>#VALUE!</v>
      </c>
      <c r="FM98" t="e">
        <f>AND('2015'!BN168,"AAAAAH279qg=")</f>
        <v>#VALUE!</v>
      </c>
      <c r="FN98" t="e">
        <f>AND('2015'!BN169,"AAAAAH279qk=")</f>
        <v>#VALUE!</v>
      </c>
      <c r="FO98" t="e">
        <f>AND('2015'!BN170,"AAAAAH279qo=")</f>
        <v>#VALUE!</v>
      </c>
      <c r="FP98" t="e">
        <f>AND('2015'!BN171,"AAAAAH279qs=")</f>
        <v>#VALUE!</v>
      </c>
      <c r="FQ98" t="e">
        <f>AND('2015'!BN172,"AAAAAH279qw=")</f>
        <v>#VALUE!</v>
      </c>
      <c r="FR98" t="e">
        <f>AND('2015'!BN173,"AAAAAH279q0=")</f>
        <v>#VALUE!</v>
      </c>
      <c r="FS98" t="e">
        <f>AND('2015'!BN174,"AAAAAH279q4=")</f>
        <v>#VALUE!</v>
      </c>
      <c r="FT98" t="e">
        <f>AND('2015'!BN175,"AAAAAH279q8=")</f>
        <v>#VALUE!</v>
      </c>
      <c r="FU98" t="e">
        <f>AND('2015'!BN176,"AAAAAH279rA=")</f>
        <v>#VALUE!</v>
      </c>
      <c r="FV98" t="e">
        <f>AND('2015'!BN177,"AAAAAH279rE=")</f>
        <v>#VALUE!</v>
      </c>
      <c r="FW98" t="e">
        <f>AND('2015'!BN178,"AAAAAH279rI=")</f>
        <v>#VALUE!</v>
      </c>
      <c r="FX98" t="e">
        <f>AND('2015'!BN179,"AAAAAH279rM=")</f>
        <v>#VALUE!</v>
      </c>
      <c r="FY98" t="e">
        <f>AND('2015'!BN180,"AAAAAH279rQ=")</f>
        <v>#VALUE!</v>
      </c>
      <c r="FZ98" t="e">
        <f>AND('2015'!BN181,"AAAAAH279rU=")</f>
        <v>#VALUE!</v>
      </c>
      <c r="GA98" t="e">
        <f>AND('2015'!BN182,"AAAAAH279rY=")</f>
        <v>#VALUE!</v>
      </c>
      <c r="GB98" t="e">
        <f>AND('2015'!BN183,"AAAAAH279rc=")</f>
        <v>#VALUE!</v>
      </c>
      <c r="GC98" t="e">
        <f>AND('2015'!BN26,"AAAAAH279rg=")</f>
        <v>#VALUE!</v>
      </c>
      <c r="GD98" t="e">
        <f>AND('2015'!BN27,"AAAAAH279rk=")</f>
        <v>#VALUE!</v>
      </c>
      <c r="GE98" t="e">
        <f>AND('2015'!BN28,"AAAAAH279ro=")</f>
        <v>#VALUE!</v>
      </c>
      <c r="GF98" t="e">
        <f>AND('2015'!BN29,"AAAAAH279rs=")</f>
        <v>#VALUE!</v>
      </c>
      <c r="GG98" t="e">
        <f>AND('2015'!BN190,"AAAAAH279rw=")</f>
        <v>#VALUE!</v>
      </c>
      <c r="GH98" t="e">
        <f>AND('2015'!BN191,"AAAAAH279r0=")</f>
        <v>#VALUE!</v>
      </c>
      <c r="GI98" t="e">
        <f>AND('2015'!BN192,"AAAAAH279r4=")</f>
        <v>#VALUE!</v>
      </c>
      <c r="GJ98" t="e">
        <f>AND('2015'!BN193,"AAAAAH279r8=")</f>
        <v>#VALUE!</v>
      </c>
      <c r="GK98" t="e">
        <f>AND('2015'!BN194,"AAAAAH279sA=")</f>
        <v>#VALUE!</v>
      </c>
      <c r="GL98" t="e">
        <f>AND('2015'!BN195,"AAAAAH279sE=")</f>
        <v>#VALUE!</v>
      </c>
      <c r="GM98" t="e">
        <f>AND('2015'!BN196,"AAAAAH279sI=")</f>
        <v>#VALUE!</v>
      </c>
      <c r="GN98" t="e">
        <f>AND('2015'!BN197,"AAAAAH279sM=")</f>
        <v>#VALUE!</v>
      </c>
      <c r="GO98">
        <f>IF('2015'!BN:BN,"AAAAAH279sQ=",0)</f>
        <v>0</v>
      </c>
    </row>
    <row r="99" spans="1:200" x14ac:dyDescent="0.25">
      <c r="A99" t="e">
        <f>AND('2015'!#REF!,"AAAAAD/JfgA=")</f>
        <v>#REF!</v>
      </c>
      <c r="B99" t="e">
        <f>AND('2015'!#REF!,"AAAAAD/JfgE=")</f>
        <v>#REF!</v>
      </c>
      <c r="C99" t="e">
        <f>AND('2015'!#REF!,"AAAAAD/JfgI=")</f>
        <v>#REF!</v>
      </c>
    </row>
    <row r="100" spans="1:200" x14ac:dyDescent="0.25">
      <c r="A100" t="e">
        <f>AND('2015'!#REF!,"AAAAAG3/3gA=")</f>
        <v>#REF!</v>
      </c>
      <c r="B100" t="e">
        <f>AND('2015'!#REF!,"AAAAAG3/3gE=")</f>
        <v>#REF!</v>
      </c>
      <c r="C100" t="e">
        <f>AND('2015'!#REF!,"AAAAAG3/3gI=")</f>
        <v>#REF!</v>
      </c>
      <c r="D100" t="e">
        <f>AND('2015'!#REF!,"AAAAAG3/3gM=")</f>
        <v>#REF!</v>
      </c>
      <c r="E100" t="e">
        <f>AND('2015'!#REF!,"AAAAAG3/3gQ=")</f>
        <v>#REF!</v>
      </c>
      <c r="F100" t="e">
        <f>AND('2015'!#REF!,"AAAAAG3/3gU=")</f>
        <v>#REF!</v>
      </c>
      <c r="G100" t="e">
        <f>AND('2015'!#REF!,"AAAAAG3/3gY=")</f>
        <v>#REF!</v>
      </c>
      <c r="H100" t="e">
        <f>AND('2015'!#REF!,"AAAAAG3/3gc=")</f>
        <v>#REF!</v>
      </c>
      <c r="I100" t="e">
        <f>AND('2015'!#REF!,"AAAAAG3/3gg=")</f>
        <v>#REF!</v>
      </c>
      <c r="J100" t="e">
        <f>AND('2015'!#REF!,"AAAAAG3/3gk=")</f>
        <v>#REF!</v>
      </c>
      <c r="K100" t="e">
        <f>AND('2015'!#REF!,"AAAAAG3/3go=")</f>
        <v>#REF!</v>
      </c>
      <c r="L100" t="e">
        <f>AND('2015'!#REF!,"AAAAAG3/3gs=")</f>
        <v>#REF!</v>
      </c>
      <c r="M100" t="e">
        <f>AND('2015'!#REF!,"AAAAAG3/3gw=")</f>
        <v>#REF!</v>
      </c>
      <c r="N100" t="e">
        <f>AND('2015'!#REF!,"AAAAAG3/3g0=")</f>
        <v>#REF!</v>
      </c>
      <c r="O100" t="e">
        <f>AND('2015'!#REF!,"AAAAAG3/3g4=")</f>
        <v>#REF!</v>
      </c>
      <c r="P100" t="e">
        <f>AND('2015'!#REF!,"AAAAAG3/3g8=")</f>
        <v>#REF!</v>
      </c>
      <c r="Q100" t="e">
        <f>AND('2015'!#REF!,"AAAAAG3/3hA=")</f>
        <v>#REF!</v>
      </c>
      <c r="R100" t="e">
        <f>AND('2015'!#REF!,"AAAAAG3/3hE=")</f>
        <v>#REF!</v>
      </c>
      <c r="S100" t="e">
        <f>AND('2015'!#REF!,"AAAAAG3/3hI=")</f>
        <v>#REF!</v>
      </c>
      <c r="T100" t="e">
        <f>AND('2015'!#REF!,"AAAAAG3/3hM=")</f>
        <v>#REF!</v>
      </c>
      <c r="U100" t="e">
        <f>AND('2015'!#REF!,"AAAAAG3/3hQ=")</f>
        <v>#REF!</v>
      </c>
      <c r="V100" t="e">
        <f>AND('2015'!#REF!,"AAAAAG3/3hU=")</f>
        <v>#REF!</v>
      </c>
      <c r="W100" t="e">
        <f>AND('2015'!#REF!,"AAAAAG3/3hY=")</f>
        <v>#REF!</v>
      </c>
      <c r="X100" t="e">
        <f>AND('2015'!#REF!,"AAAAAG3/3hc=")</f>
        <v>#REF!</v>
      </c>
      <c r="Y100" t="e">
        <f>AND('2015'!#REF!,"AAAAAG3/3hg=")</f>
        <v>#REF!</v>
      </c>
      <c r="Z100" t="e">
        <f>AND('2015'!#REF!,"AAAAAG3/3hk=")</f>
        <v>#REF!</v>
      </c>
      <c r="AA100" t="e">
        <f>AND('2015'!#REF!,"AAAAAG3/3ho=")</f>
        <v>#REF!</v>
      </c>
      <c r="AB100" t="e">
        <f>AND('2015'!#REF!,"AAAAAG3/3hs=")</f>
        <v>#REF!</v>
      </c>
      <c r="AC100" t="e">
        <f>AND('2015'!#REF!,"AAAAAG3/3hw=")</f>
        <v>#REF!</v>
      </c>
      <c r="AD100" t="e">
        <f>AND('2015'!#REF!,"AAAAAG3/3h0=")</f>
        <v>#REF!</v>
      </c>
      <c r="AE100" t="e">
        <f>AND('2015'!#REF!,"AAAAAG3/3h4=")</f>
        <v>#REF!</v>
      </c>
      <c r="AF100" t="e">
        <f>AND('2015'!#REF!,"AAAAAG3/3h8=")</f>
        <v>#REF!</v>
      </c>
      <c r="AG100" t="e">
        <f>AND('2015'!#REF!,"AAAAAG3/3iA=")</f>
        <v>#REF!</v>
      </c>
      <c r="AH100" t="e">
        <f>AND('2015'!#REF!,"AAAAAG3/3iE=")</f>
        <v>#REF!</v>
      </c>
      <c r="AI100" t="e">
        <f>AND('2015'!#REF!,"AAAAAG3/3iI=")</f>
        <v>#REF!</v>
      </c>
      <c r="AJ100" t="e">
        <f>AND('2015'!#REF!,"AAAAAG3/3iM=")</f>
        <v>#REF!</v>
      </c>
      <c r="AK100" t="e">
        <f>AND('2015'!#REF!,"AAAAAG3/3iQ=")</f>
        <v>#REF!</v>
      </c>
      <c r="AL100" t="e">
        <f>AND('2015'!#REF!,"AAAAAG3/3iU=")</f>
        <v>#REF!</v>
      </c>
      <c r="AM100" t="e">
        <f>AND('2015'!#REF!,"AAAAAG3/3iY=")</f>
        <v>#REF!</v>
      </c>
      <c r="AN100" t="e">
        <f>AND('2015'!#REF!,"AAAAAG3/3ic=")</f>
        <v>#REF!</v>
      </c>
      <c r="AO100" t="e">
        <f>AND('2015'!#REF!,"AAAAAG3/3ig=")</f>
        <v>#REF!</v>
      </c>
      <c r="AP100" t="e">
        <f>AND('2015'!#REF!,"AAAAAG3/3ik=")</f>
        <v>#REF!</v>
      </c>
      <c r="AQ100" t="e">
        <f>AND('2015'!#REF!,"AAAAAG3/3io=")</f>
        <v>#REF!</v>
      </c>
      <c r="AR100" t="e">
        <f>AND('2015'!#REF!,"AAAAAG3/3is=")</f>
        <v>#REF!</v>
      </c>
      <c r="AS100" t="e">
        <f>AND('2015'!#REF!,"AAAAAG3/3iw=")</f>
        <v>#REF!</v>
      </c>
      <c r="AT100" t="e">
        <f>AND('2015'!#REF!,"AAAAAG3/3i0=")</f>
        <v>#REF!</v>
      </c>
      <c r="AU100" t="e">
        <f>AND('2015'!#REF!,"AAAAAG3/3i4=")</f>
        <v>#REF!</v>
      </c>
      <c r="AV100" t="e">
        <f>AND('2015'!#REF!,"AAAAAG3/3i8=")</f>
        <v>#REF!</v>
      </c>
      <c r="AW100" t="e">
        <f>AND('2015'!#REF!,"AAAAAG3/3jA=")</f>
        <v>#REF!</v>
      </c>
      <c r="AX100" t="e">
        <f>AND('2015'!#REF!,"AAAAAG3/3jE=")</f>
        <v>#REF!</v>
      </c>
      <c r="AY100" t="e">
        <f>AND('2015'!#REF!,"AAAAAG3/3jI=")</f>
        <v>#REF!</v>
      </c>
      <c r="AZ100" t="e">
        <f>AND('2015'!#REF!,"AAAAAG3/3jM=")</f>
        <v>#REF!</v>
      </c>
      <c r="BA100" t="e">
        <f>AND('2015'!#REF!,"AAAAAG3/3jQ=")</f>
        <v>#REF!</v>
      </c>
      <c r="BB100" t="e">
        <f>AND('2015'!#REF!,"AAAAAG3/3jU=")</f>
        <v>#REF!</v>
      </c>
      <c r="BC100" t="e">
        <f>AND('2015'!#REF!,"AAAAAG3/3jY=")</f>
        <v>#REF!</v>
      </c>
      <c r="BD100" t="e">
        <f>AND('2015'!#REF!,"AAAAAG3/3jc=")</f>
        <v>#REF!</v>
      </c>
      <c r="BE100" t="e">
        <f>AND('2015'!#REF!,"AAAAAG3/3jg=")</f>
        <v>#REF!</v>
      </c>
      <c r="BF100" t="e">
        <f>AND('2015'!#REF!,"AAAAAG3/3jk=")</f>
        <v>#REF!</v>
      </c>
      <c r="BG100" t="e">
        <f>AND('2015'!#REF!,"AAAAAG3/3jo=")</f>
        <v>#REF!</v>
      </c>
      <c r="BH100" t="e">
        <f>AND('2015'!#REF!,"AAAAAG3/3js=")</f>
        <v>#REF!</v>
      </c>
      <c r="BI100" t="e">
        <f>AND('2015'!#REF!,"AAAAAG3/3jw=")</f>
        <v>#REF!</v>
      </c>
      <c r="BJ100" t="e">
        <f>AND('2015'!#REF!,"AAAAAG3/3j0=")</f>
        <v>#REF!</v>
      </c>
      <c r="BK100" t="e">
        <f>AND('2015'!#REF!,"AAAAAG3/3j4=")</f>
        <v>#REF!</v>
      </c>
      <c r="BL100" t="e">
        <f>AND('2015'!#REF!,"AAAAAG3/3j8=")</f>
        <v>#REF!</v>
      </c>
      <c r="BM100" t="e">
        <f>AND('2015'!#REF!,"AAAAAG3/3kA=")</f>
        <v>#REF!</v>
      </c>
      <c r="BN100" t="e">
        <f>AND('2015'!#REF!,"AAAAAG3/3kE=")</f>
        <v>#REF!</v>
      </c>
      <c r="BO100" t="e">
        <f>AND('2015'!#REF!,"AAAAAG3/3kI=")</f>
        <v>#REF!</v>
      </c>
      <c r="BP100" t="e">
        <f>AND('2015'!#REF!,"AAAAAG3/3kM=")</f>
        <v>#REF!</v>
      </c>
      <c r="BQ100" t="e">
        <f>AND('2015'!#REF!,"AAAAAG3/3kQ=")</f>
        <v>#REF!</v>
      </c>
      <c r="BR100" t="e">
        <f>AND('2015'!#REF!,"AAAAAG3/3kU=")</f>
        <v>#REF!</v>
      </c>
      <c r="BS100" t="e">
        <f>AND('2015'!#REF!,"AAAAAG3/3kY=")</f>
        <v>#REF!</v>
      </c>
      <c r="BT100" t="e">
        <f>AND('2015'!#REF!,"AAAAAG3/3kc=")</f>
        <v>#REF!</v>
      </c>
      <c r="BU100" t="e">
        <f>AND('2015'!#REF!,"AAAAAG3/3kg=")</f>
        <v>#REF!</v>
      </c>
      <c r="BV100" t="e">
        <f>AND('2015'!#REF!,"AAAAAG3/3kk=")</f>
        <v>#REF!</v>
      </c>
      <c r="BW100" t="e">
        <f>AND('2015'!#REF!,"AAAAAG3/3ko=")</f>
        <v>#REF!</v>
      </c>
      <c r="BX100" t="e">
        <f>AND('2015'!#REF!,"AAAAAG3/3ks=")</f>
        <v>#REF!</v>
      </c>
      <c r="BY100" t="e">
        <f>AND('2015'!#REF!,"AAAAAG3/3kw=")</f>
        <v>#REF!</v>
      </c>
      <c r="BZ100" t="e">
        <f>AND('2015'!#REF!,"AAAAAG3/3k0=")</f>
        <v>#REF!</v>
      </c>
      <c r="CA100" t="e">
        <f>AND('2015'!#REF!,"AAAAAG3/3k4=")</f>
        <v>#REF!</v>
      </c>
      <c r="CB100" t="e">
        <f>AND('2015'!#REF!,"AAAAAG3/3k8=")</f>
        <v>#REF!</v>
      </c>
      <c r="CC100" t="e">
        <f>AND('2015'!#REF!,"AAAAAG3/3lA=")</f>
        <v>#REF!</v>
      </c>
      <c r="CD100" t="e">
        <f>AND('2015'!#REF!,"AAAAAG3/3lE=")</f>
        <v>#REF!</v>
      </c>
      <c r="CE100" t="e">
        <f>AND('2015'!#REF!,"AAAAAG3/3lI=")</f>
        <v>#REF!</v>
      </c>
      <c r="CF100" t="e">
        <f>AND('2015'!#REF!,"AAAAAG3/3lM=")</f>
        <v>#REF!</v>
      </c>
      <c r="CG100" t="e">
        <f>AND('2015'!#REF!,"AAAAAG3/3lQ=")</f>
        <v>#REF!</v>
      </c>
      <c r="CH100" t="e">
        <f>AND('2015'!#REF!,"AAAAAG3/3lU=")</f>
        <v>#REF!</v>
      </c>
      <c r="CI100" t="e">
        <f>AND('2015'!#REF!,"AAAAAG3/3lY=")</f>
        <v>#REF!</v>
      </c>
      <c r="CJ100" t="e">
        <f>AND('2015'!#REF!,"AAAAAG3/3lc=")</f>
        <v>#REF!</v>
      </c>
      <c r="CK100" t="e">
        <f>AND('2015'!#REF!,"AAAAAG3/3lg=")</f>
        <v>#REF!</v>
      </c>
      <c r="CL100" t="e">
        <f>AND('2015'!#REF!,"AAAAAG3/3lk=")</f>
        <v>#REF!</v>
      </c>
      <c r="CM100" t="e">
        <f>AND('2015'!#REF!,"AAAAAG3/3lo=")</f>
        <v>#REF!</v>
      </c>
      <c r="CN100" t="e">
        <f>AND('2015'!#REF!,"AAAAAG3/3ls=")</f>
        <v>#REF!</v>
      </c>
      <c r="CO100" t="e">
        <f>AND('2015'!#REF!,"AAAAAG3/3lw=")</f>
        <v>#REF!</v>
      </c>
      <c r="CP100" t="e">
        <f>AND('2015'!#REF!,"AAAAAG3/3l0=")</f>
        <v>#REF!</v>
      </c>
      <c r="CQ100" t="e">
        <f>AND('2015'!#REF!,"AAAAAG3/3l4=")</f>
        <v>#REF!</v>
      </c>
      <c r="CR100" t="e">
        <f>AND('2015'!#REF!,"AAAAAG3/3l8=")</f>
        <v>#REF!</v>
      </c>
      <c r="CS100" t="e">
        <f>AND('2015'!#REF!,"AAAAAG3/3mA=")</f>
        <v>#REF!</v>
      </c>
      <c r="CT100" t="e">
        <f>AND('2015'!#REF!,"AAAAAG3/3mE=")</f>
        <v>#REF!</v>
      </c>
      <c r="CU100" t="e">
        <f>AND('2015'!#REF!,"AAAAAG3/3mI=")</f>
        <v>#REF!</v>
      </c>
      <c r="CV100" t="e">
        <f>AND('2015'!#REF!,"AAAAAG3/3mM=")</f>
        <v>#REF!</v>
      </c>
      <c r="CW100" t="e">
        <f>AND('2015'!#REF!,"AAAAAG3/3mQ=")</f>
        <v>#REF!</v>
      </c>
      <c r="CX100" t="e">
        <f>AND('2015'!#REF!,"AAAAAG3/3mU=")</f>
        <v>#REF!</v>
      </c>
      <c r="CY100" t="e">
        <f>AND('2015'!#REF!,"AAAAAG3/3mY=")</f>
        <v>#REF!</v>
      </c>
      <c r="CZ100" t="e">
        <f>AND('2015'!#REF!,"AAAAAG3/3mc=")</f>
        <v>#REF!</v>
      </c>
      <c r="DA100" t="e">
        <f>AND('2015'!#REF!,"AAAAAG3/3mg=")</f>
        <v>#REF!</v>
      </c>
      <c r="DB100" t="e">
        <f>AND('2015'!#REF!,"AAAAAG3/3mk=")</f>
        <v>#REF!</v>
      </c>
      <c r="DC100" t="e">
        <f>AND('2015'!#REF!,"AAAAAG3/3mo=")</f>
        <v>#REF!</v>
      </c>
      <c r="DD100" t="e">
        <f>AND('2015'!#REF!,"AAAAAG3/3ms=")</f>
        <v>#REF!</v>
      </c>
      <c r="DE100" t="e">
        <f>AND('2015'!#REF!,"AAAAAG3/3mw=")</f>
        <v>#REF!</v>
      </c>
      <c r="DF100" t="e">
        <f>AND('2015'!#REF!,"AAAAAG3/3m0=")</f>
        <v>#REF!</v>
      </c>
      <c r="DG100" t="e">
        <f>AND('2015'!#REF!,"AAAAAG3/3m4=")</f>
        <v>#REF!</v>
      </c>
      <c r="DH100" t="e">
        <f>AND('2015'!#REF!,"AAAAAG3/3m8=")</f>
        <v>#REF!</v>
      </c>
      <c r="DI100" t="e">
        <f>AND('2015'!#REF!,"AAAAAG3/3nA=")</f>
        <v>#REF!</v>
      </c>
      <c r="DJ100" t="e">
        <f>AND('2015'!#REF!,"AAAAAG3/3nE=")</f>
        <v>#REF!</v>
      </c>
      <c r="DK100" t="e">
        <f>AND('2015'!#REF!,"AAAAAG3/3nI=")</f>
        <v>#REF!</v>
      </c>
      <c r="DL100" t="e">
        <f>AND('2015'!#REF!,"AAAAAG3/3nM=")</f>
        <v>#REF!</v>
      </c>
      <c r="DM100" t="e">
        <f>AND('2015'!#REF!,"AAAAAG3/3nQ=")</f>
        <v>#REF!</v>
      </c>
      <c r="DN100" t="e">
        <f>AND('2015'!#REF!,"AAAAAG3/3nU=")</f>
        <v>#REF!</v>
      </c>
      <c r="DO100" t="e">
        <f>AND('2015'!#REF!,"AAAAAG3/3nY=")</f>
        <v>#REF!</v>
      </c>
      <c r="DP100" t="e">
        <f>AND('2015'!#REF!,"AAAAAG3/3nc=")</f>
        <v>#REF!</v>
      </c>
      <c r="DQ100" t="e">
        <f>AND('2015'!#REF!,"AAAAAG3/3ng=")</f>
        <v>#REF!</v>
      </c>
      <c r="DR100" t="e">
        <f>AND('2015'!#REF!,"AAAAAG3/3nk=")</f>
        <v>#REF!</v>
      </c>
      <c r="DS100" t="e">
        <f>AND('2015'!#REF!,"AAAAAG3/3no=")</f>
        <v>#REF!</v>
      </c>
      <c r="DT100" t="e">
        <f>AND('2015'!#REF!,"AAAAAG3/3ns=")</f>
        <v>#REF!</v>
      </c>
      <c r="DU100" t="e">
        <f>AND('2015'!F187,"AAAAAG3/3nw=")</f>
        <v>#VALUE!</v>
      </c>
      <c r="DV100" t="e">
        <f>AND('2015'!#REF!,"AAAAAG3/3n0=")</f>
        <v>#REF!</v>
      </c>
      <c r="DW100" t="e">
        <f>AND('2015'!#REF!,"AAAAAG3/3n4=")</f>
        <v>#REF!</v>
      </c>
      <c r="DX100" t="e">
        <f>AND('2015'!#REF!,"AAAAAG3/3n8=")</f>
        <v>#REF!</v>
      </c>
      <c r="DY100" t="e">
        <f>AND('2015'!#REF!,"AAAAAG3/3oA=")</f>
        <v>#REF!</v>
      </c>
      <c r="DZ100" t="e">
        <f>AND('2015'!#REF!,"AAAAAG3/3oE=")</f>
        <v>#REF!</v>
      </c>
      <c r="EA100" t="e">
        <f>AND('2015'!#REF!,"AAAAAG3/3oI=")</f>
        <v>#REF!</v>
      </c>
      <c r="EB100" t="e">
        <f>AND('2015'!#REF!,"AAAAAG3/3oM=")</f>
        <v>#REF!</v>
      </c>
      <c r="EC100" t="e">
        <f>AND('2015'!#REF!,"AAAAAG3/3oQ=")</f>
        <v>#REF!</v>
      </c>
      <c r="ED100" t="e">
        <f>AND('2015'!#REF!,"AAAAAG3/3oU=")</f>
        <v>#REF!</v>
      </c>
      <c r="EE100" t="e">
        <f>AND('2015'!#REF!,"AAAAAG3/3oY=")</f>
        <v>#REF!</v>
      </c>
      <c r="EF100" t="e">
        <f>AND('2015'!#REF!,"AAAAAG3/3oc=")</f>
        <v>#REF!</v>
      </c>
      <c r="EG100" t="e">
        <f>AND('2015'!#REF!,"AAAAAG3/3og=")</f>
        <v>#REF!</v>
      </c>
      <c r="EH100" t="e">
        <f>AND('2015'!#REF!,"AAAAAG3/3ok=")</f>
        <v>#REF!</v>
      </c>
      <c r="EI100" t="e">
        <f>AND('2015'!#REF!,"AAAAAG3/3oo=")</f>
        <v>#REF!</v>
      </c>
      <c r="EJ100" t="e">
        <f>AND('2015'!#REF!,"AAAAAG3/3os=")</f>
        <v>#REF!</v>
      </c>
      <c r="EK100" t="e">
        <f>AND('2015'!#REF!,"AAAAAG3/3ow=")</f>
        <v>#REF!</v>
      </c>
      <c r="EL100" t="e">
        <f>AND('2015'!#REF!,"AAAAAG3/3o0=")</f>
        <v>#REF!</v>
      </c>
      <c r="EM100" t="e">
        <f>AND('2015'!#REF!,"AAAAAG3/3o4=")</f>
        <v>#REF!</v>
      </c>
      <c r="EN100" t="e">
        <f>AND('2015'!#REF!,"AAAAAG3/3o8=")</f>
        <v>#REF!</v>
      </c>
      <c r="EO100" t="e">
        <f>AND('2015'!#REF!,"AAAAAG3/3pA=")</f>
        <v>#REF!</v>
      </c>
      <c r="EP100" t="e">
        <f>AND('2015'!#REF!,"AAAAAG3/3pE=")</f>
        <v>#REF!</v>
      </c>
      <c r="EQ100" t="e">
        <f>AND('2015'!#REF!,"AAAAAG3/3pI=")</f>
        <v>#REF!</v>
      </c>
      <c r="ER100" t="e">
        <f>AND('2015'!#REF!,"AAAAAG3/3pM=")</f>
        <v>#REF!</v>
      </c>
      <c r="ES100" t="e">
        <f>AND('2015'!#REF!,"AAAAAG3/3pQ=")</f>
        <v>#REF!</v>
      </c>
      <c r="ET100" t="e">
        <f>AND('2015'!#REF!,"AAAAAG3/3pU=")</f>
        <v>#REF!</v>
      </c>
      <c r="EU100" t="e">
        <f>AND('2015'!#REF!,"AAAAAG3/3pY=")</f>
        <v>#REF!</v>
      </c>
      <c r="EV100" t="e">
        <f>AND('2015'!#REF!,"AAAAAG3/3pc=")</f>
        <v>#REF!</v>
      </c>
      <c r="EW100" t="e">
        <f>AND('2015'!#REF!,"AAAAAG3/3pg=")</f>
        <v>#REF!</v>
      </c>
      <c r="EX100" t="e">
        <f>AND('2015'!#REF!,"AAAAAG3/3pk=")</f>
        <v>#REF!</v>
      </c>
      <c r="EY100" t="e">
        <f>AND('2015'!#REF!,"AAAAAG3/3po=")</f>
        <v>#REF!</v>
      </c>
      <c r="EZ100" t="e">
        <f>AND('2015'!#REF!,"AAAAAG3/3ps=")</f>
        <v>#REF!</v>
      </c>
      <c r="FA100" t="e">
        <f>AND('2015'!#REF!,"AAAAAG3/3pw=")</f>
        <v>#REF!</v>
      </c>
      <c r="FB100" t="e">
        <f>AND('2015'!#REF!,"AAAAAG3/3p0=")</f>
        <v>#REF!</v>
      </c>
      <c r="FC100" t="e">
        <f>AND('2015'!#REF!,"AAAAAG3/3p4=")</f>
        <v>#REF!</v>
      </c>
      <c r="FD100" t="e">
        <f>AND('2015'!#REF!,"AAAAAG3/3p8=")</f>
        <v>#REF!</v>
      </c>
      <c r="FE100" t="e">
        <f>AND('2015'!#REF!,"AAAAAG3/3qA=")</f>
        <v>#REF!</v>
      </c>
      <c r="FF100" t="e">
        <f>AND('2015'!#REF!,"AAAAAG3/3qE=")</f>
        <v>#REF!</v>
      </c>
      <c r="FG100" t="e">
        <f>AND('2015'!#REF!,"AAAAAG3/3qI=")</f>
        <v>#REF!</v>
      </c>
      <c r="FH100" t="e">
        <f>AND('2015'!#REF!,"AAAAAG3/3qM=")</f>
        <v>#REF!</v>
      </c>
      <c r="FI100" t="e">
        <f>AND('2015'!#REF!,"AAAAAG3/3qQ=")</f>
        <v>#REF!</v>
      </c>
      <c r="FJ100" t="e">
        <f>AND('2015'!#REF!,"AAAAAG3/3qU=")</f>
        <v>#REF!</v>
      </c>
      <c r="FK100" t="e">
        <f>AND('2015'!#REF!,"AAAAAG3/3qY=")</f>
        <v>#REF!</v>
      </c>
      <c r="FL100" t="e">
        <f>AND('2015'!#REF!,"AAAAAG3/3qc=")</f>
        <v>#REF!</v>
      </c>
      <c r="FM100" t="e">
        <f>AND('2015'!#REF!,"AAAAAG3/3qg=")</f>
        <v>#REF!</v>
      </c>
      <c r="FN100" t="e">
        <f>AND('2015'!#REF!,"AAAAAG3/3qk=")</f>
        <v>#REF!</v>
      </c>
      <c r="FO100" t="e">
        <f>AND('2015'!#REF!,"AAAAAG3/3qo=")</f>
        <v>#REF!</v>
      </c>
      <c r="FP100" t="e">
        <f>AND('2015'!#REF!,"AAAAAG3/3qs=")</f>
        <v>#REF!</v>
      </c>
      <c r="FQ100" t="e">
        <f>AND('2015'!#REF!,"AAAAAG3/3qw=")</f>
        <v>#REF!</v>
      </c>
      <c r="FR100" t="e">
        <f>AND('2015'!#REF!,"AAAAAG3/3q0=")</f>
        <v>#REF!</v>
      </c>
      <c r="FS100" t="e">
        <f>AND('2015'!#REF!,"AAAAAG3/3q4=")</f>
        <v>#REF!</v>
      </c>
      <c r="FT100" t="e">
        <f>AND('2015'!#REF!,"AAAAAG3/3q8=")</f>
        <v>#REF!</v>
      </c>
      <c r="FU100" t="e">
        <f>AND('2015'!#REF!,"AAAAAG3/3rA=")</f>
        <v>#REF!</v>
      </c>
      <c r="FV100" t="e">
        <f>AND('2015'!#REF!,"AAAAAG3/3rE=")</f>
        <v>#REF!</v>
      </c>
      <c r="FW100" t="e">
        <f>AND('2015'!#REF!,"AAAAAG3/3rI=")</f>
        <v>#REF!</v>
      </c>
      <c r="FX100" t="e">
        <f>AND('2015'!#REF!,"AAAAAG3/3rM=")</f>
        <v>#REF!</v>
      </c>
      <c r="FY100" t="e">
        <f>AND('2015'!#REF!,"AAAAAG3/3rQ=")</f>
        <v>#REF!</v>
      </c>
      <c r="FZ100" t="e">
        <f>AND('2015'!#REF!,"AAAAAG3/3rU=")</f>
        <v>#REF!</v>
      </c>
      <c r="GA100" t="e">
        <f>AND('2015'!#REF!,"AAAAAG3/3rY=")</f>
        <v>#REF!</v>
      </c>
      <c r="GB100" t="e">
        <f>AND('2015'!#REF!,"AAAAAG3/3rc=")</f>
        <v>#REF!</v>
      </c>
      <c r="GC100" t="e">
        <f>AND('2015'!#REF!,"AAAAAG3/3rg=")</f>
        <v>#REF!</v>
      </c>
      <c r="GD100" t="e">
        <f>AND('2015'!#REF!,"AAAAAG3/3rk=")</f>
        <v>#REF!</v>
      </c>
      <c r="GE100" t="e">
        <f>AND('2015'!#REF!,"AAAAAG3/3ro=")</f>
        <v>#REF!</v>
      </c>
      <c r="GF100" t="e">
        <f>AND('2015'!#REF!,"AAAAAG3/3rs=")</f>
        <v>#REF!</v>
      </c>
      <c r="GG100" t="e">
        <f>AND('2015'!#REF!,"AAAAAG3/3rw=")</f>
        <v>#REF!</v>
      </c>
      <c r="GH100" t="e">
        <f>AND('2015'!#REF!,"AAAAAG3/3r0=")</f>
        <v>#REF!</v>
      </c>
      <c r="GI100" t="e">
        <f>AND('2015'!#REF!,"AAAAAG3/3r4=")</f>
        <v>#REF!</v>
      </c>
      <c r="GJ100" t="e">
        <f>AND('2015'!#REF!,"AAAAAG3/3r8=")</f>
        <v>#REF!</v>
      </c>
      <c r="GK100" t="e">
        <f>AND('2015'!#REF!,"AAAAAG3/3sA=")</f>
        <v>#REF!</v>
      </c>
      <c r="GL100" t="e">
        <f>AND('2015'!#REF!,"AAAAAG3/3sE=")</f>
        <v>#REF!</v>
      </c>
      <c r="GM100" t="e">
        <f>AND('2015'!#REF!,"AAAAAG3/3sI=")</f>
        <v>#REF!</v>
      </c>
      <c r="GN100" t="e">
        <f>AND('2015'!#REF!,"AAAAAG3/3sM=")</f>
        <v>#REF!</v>
      </c>
      <c r="GO100" t="e">
        <f>AND('2015'!#REF!,"AAAAAG3/3sQ=")</f>
        <v>#REF!</v>
      </c>
      <c r="GP100" t="e">
        <f>AND('2015'!#REF!,"AAAAAG3/3sU=")</f>
        <v>#REF!</v>
      </c>
      <c r="GQ100" t="e">
        <f>AND('2015'!#REF!,"AAAAAG3/3sY=")</f>
        <v>#REF!</v>
      </c>
      <c r="GR100" t="e">
        <f>IF('2015'!#REF!,"AAAAAG3/3sc=",0)</f>
        <v>#REF!</v>
      </c>
    </row>
    <row r="101" spans="1:200" x14ac:dyDescent="0.25">
      <c r="A101">
        <f>IF('2015'!184:184,"AAAAAG7j3wA=",0)</f>
        <v>0</v>
      </c>
      <c r="B101" t="e">
        <f>AND('2015'!A184,"AAAAAG7j3wE=")</f>
        <v>#VALUE!</v>
      </c>
      <c r="C101" t="e">
        <f>AND('2015'!B184,"AAAAAG7j3wI=")</f>
        <v>#VALUE!</v>
      </c>
      <c r="D101" t="e">
        <f>AND('2015'!C184,"AAAAAG7j3wM=")</f>
        <v>#VALUE!</v>
      </c>
      <c r="E101" t="e">
        <f>AND('2015'!D184,"AAAAAG7j3wQ=")</f>
        <v>#VALUE!</v>
      </c>
      <c r="F101" t="e">
        <f>AND('2015'!E184,"AAAAAG7j3wU=")</f>
        <v>#VALUE!</v>
      </c>
      <c r="G101" t="e">
        <f>AND('2015'!F184,"AAAAAG7j3wY=")</f>
        <v>#VALUE!</v>
      </c>
      <c r="H101" t="e">
        <f>AND('2015'!G184,"AAAAAG7j3wc=")</f>
        <v>#VALUE!</v>
      </c>
      <c r="I101" t="e">
        <f>AND('2015'!H184,"AAAAAG7j3wg=")</f>
        <v>#VALUE!</v>
      </c>
      <c r="J101" t="e">
        <f>AND('2015'!I184,"AAAAAG7j3wk=")</f>
        <v>#VALUE!</v>
      </c>
      <c r="K101" t="e">
        <f>AND('2015'!J184,"AAAAAG7j3wo=")</f>
        <v>#VALUE!</v>
      </c>
      <c r="L101" t="e">
        <f>AND('2015'!K184,"AAAAAG7j3ws=")</f>
        <v>#VALUE!</v>
      </c>
      <c r="M101" t="e">
        <f>AND('2015'!L184,"AAAAAG7j3ww=")</f>
        <v>#VALUE!</v>
      </c>
      <c r="N101" t="e">
        <f>AND('2015'!M184,"AAAAAG7j3w0=")</f>
        <v>#VALUE!</v>
      </c>
      <c r="O101" t="e">
        <f>AND('2015'!N184,"AAAAAG7j3w4=")</f>
        <v>#VALUE!</v>
      </c>
      <c r="P101" t="e">
        <f>AND('2015'!O184,"AAAAAG7j3w8=")</f>
        <v>#VALUE!</v>
      </c>
      <c r="Q101" t="e">
        <f>AND('2015'!P184,"AAAAAG7j3xA=")</f>
        <v>#VALUE!</v>
      </c>
      <c r="R101" t="e">
        <f>AND('2015'!Q184,"AAAAAG7j3xE=")</f>
        <v>#VALUE!</v>
      </c>
      <c r="S101" t="e">
        <f>AND('2015'!R184,"AAAAAG7j3xI=")</f>
        <v>#VALUE!</v>
      </c>
      <c r="T101" t="e">
        <f>AND('2015'!S184,"AAAAAG7j3xM=")</f>
        <v>#VALUE!</v>
      </c>
      <c r="U101" t="e">
        <f>AND('2015'!T184,"AAAAAG7j3xQ=")</f>
        <v>#VALUE!</v>
      </c>
      <c r="V101" t="e">
        <f>AND('2015'!U184,"AAAAAG7j3xU=")</f>
        <v>#VALUE!</v>
      </c>
      <c r="W101" t="e">
        <f>AND('2015'!V184,"AAAAAG7j3xY=")</f>
        <v>#VALUE!</v>
      </c>
      <c r="X101" t="e">
        <f>AND('2015'!W184,"AAAAAG7j3xc=")</f>
        <v>#VALUE!</v>
      </c>
      <c r="Y101" t="e">
        <f>AND('2015'!X184,"AAAAAG7j3xg=")</f>
        <v>#VALUE!</v>
      </c>
      <c r="Z101" t="e">
        <f>AND('2015'!Y184,"AAAAAG7j3xk=")</f>
        <v>#VALUE!</v>
      </c>
      <c r="AA101" t="e">
        <f>AND('2015'!Z184,"AAAAAG7j3xo=")</f>
        <v>#VALUE!</v>
      </c>
      <c r="AB101" t="e">
        <f>AND('2015'!AA184,"AAAAAG7j3xs=")</f>
        <v>#VALUE!</v>
      </c>
      <c r="AC101" t="e">
        <f>AND('2015'!AB184,"AAAAAG7j3xw=")</f>
        <v>#VALUE!</v>
      </c>
      <c r="AD101" t="e">
        <f>AND('2015'!AC184,"AAAAAG7j3x0=")</f>
        <v>#VALUE!</v>
      </c>
      <c r="AE101" t="e">
        <f>AND('2015'!AD184,"AAAAAG7j3x4=")</f>
        <v>#VALUE!</v>
      </c>
      <c r="AF101" t="e">
        <f>AND('2015'!AE184,"AAAAAG7j3x8=")</f>
        <v>#VALUE!</v>
      </c>
      <c r="AG101" t="e">
        <f>AND('2015'!AF184,"AAAAAG7j3yA=")</f>
        <v>#VALUE!</v>
      </c>
      <c r="AH101" t="e">
        <f>AND('2015'!AG184,"AAAAAG7j3yE=")</f>
        <v>#VALUE!</v>
      </c>
      <c r="AI101" t="e">
        <f>AND('2015'!AH184,"AAAAAG7j3yI=")</f>
        <v>#VALUE!</v>
      </c>
      <c r="AJ101" t="e">
        <f>AND('2015'!AI184,"AAAAAG7j3yM=")</f>
        <v>#VALUE!</v>
      </c>
      <c r="AK101" t="e">
        <f>AND('2015'!AJ184,"AAAAAG7j3yQ=")</f>
        <v>#VALUE!</v>
      </c>
      <c r="AL101" t="e">
        <f>AND('2015'!AK184,"AAAAAG7j3yU=")</f>
        <v>#VALUE!</v>
      </c>
      <c r="AM101" t="e">
        <f>AND('2015'!AL184,"AAAAAG7j3yY=")</f>
        <v>#VALUE!</v>
      </c>
      <c r="AN101" t="e">
        <f>AND('2015'!AM184,"AAAAAG7j3yc=")</f>
        <v>#VALUE!</v>
      </c>
      <c r="AO101" t="e">
        <f>AND('2015'!AN184,"AAAAAG7j3yg=")</f>
        <v>#VALUE!</v>
      </c>
      <c r="AP101" t="e">
        <f>AND('2015'!AO184,"AAAAAG7j3yk=")</f>
        <v>#VALUE!</v>
      </c>
      <c r="AQ101" t="e">
        <f>AND('2015'!AP184,"AAAAAG7j3yo=")</f>
        <v>#VALUE!</v>
      </c>
      <c r="AR101" t="e">
        <f>AND('2015'!AQ184,"AAAAAG7j3ys=")</f>
        <v>#VALUE!</v>
      </c>
      <c r="AS101" t="e">
        <f>AND('2015'!AR184,"AAAAAG7j3yw=")</f>
        <v>#VALUE!</v>
      </c>
      <c r="AT101" t="e">
        <f>AND('2015'!AS184,"AAAAAG7j3y0=")</f>
        <v>#VALUE!</v>
      </c>
      <c r="AU101" t="e">
        <f>AND('2015'!AT184,"AAAAAG7j3y4=")</f>
        <v>#VALUE!</v>
      </c>
      <c r="AV101" t="e">
        <f>AND('2015'!AU184,"AAAAAG7j3y8=")</f>
        <v>#VALUE!</v>
      </c>
      <c r="AW101" t="e">
        <f>AND('2015'!AV184,"AAAAAG7j3zA=")</f>
        <v>#VALUE!</v>
      </c>
      <c r="AX101" t="e">
        <f>AND('2015'!AW184,"AAAAAG7j3zE=")</f>
        <v>#VALUE!</v>
      </c>
      <c r="AY101" t="e">
        <f>AND('2015'!AX184,"AAAAAG7j3zI=")</f>
        <v>#VALUE!</v>
      </c>
      <c r="AZ101" t="e">
        <f>AND('2015'!AY184,"AAAAAG7j3zM=")</f>
        <v>#VALUE!</v>
      </c>
      <c r="BA101" t="e">
        <f>AND('2015'!AZ184,"AAAAAG7j3zQ=")</f>
        <v>#VALUE!</v>
      </c>
      <c r="BB101" t="e">
        <f>AND('2015'!BA184,"AAAAAG7j3zU=")</f>
        <v>#VALUE!</v>
      </c>
      <c r="BC101" t="e">
        <f>AND('2015'!BB184,"AAAAAG7j3zY=")</f>
        <v>#VALUE!</v>
      </c>
      <c r="BD101" t="e">
        <f>AND('2015'!BC184,"AAAAAG7j3zc=")</f>
        <v>#VALUE!</v>
      </c>
      <c r="BE101" t="e">
        <f>AND('2015'!BD184,"AAAAAG7j3zg=")</f>
        <v>#VALUE!</v>
      </c>
      <c r="BF101" t="e">
        <f>AND('2015'!BE184,"AAAAAG7j3zk=")</f>
        <v>#VALUE!</v>
      </c>
      <c r="BG101" t="e">
        <f>AND('2015'!BF184,"AAAAAG7j3zo=")</f>
        <v>#VALUE!</v>
      </c>
      <c r="BH101" t="e">
        <f>AND('2015'!BG184,"AAAAAG7j3zs=")</f>
        <v>#VALUE!</v>
      </c>
      <c r="BI101" t="e">
        <f>AND('2015'!BH184,"AAAAAG7j3zw=")</f>
        <v>#VALUE!</v>
      </c>
      <c r="BJ101" t="e">
        <f>AND('2015'!BI184,"AAAAAG7j3z0=")</f>
        <v>#VALUE!</v>
      </c>
      <c r="BK101" t="e">
        <f>AND('2015'!BJ184,"AAAAAG7j3z4=")</f>
        <v>#VALUE!</v>
      </c>
      <c r="BL101" t="e">
        <f>AND('2015'!BK184,"AAAAAG7j3z8=")</f>
        <v>#VALUE!</v>
      </c>
      <c r="BM101" t="e">
        <f>AND('2015'!BL184,"AAAAAG7j30A=")</f>
        <v>#VALUE!</v>
      </c>
      <c r="BN101" t="e">
        <f>AND('2015'!BM184,"AAAAAG7j30E=")</f>
        <v>#VALUE!</v>
      </c>
      <c r="BO101" t="e">
        <f>AND('2015'!BN184,"AAAAAG7j30I=")</f>
        <v>#VALUE!</v>
      </c>
      <c r="BP101" t="e">
        <f>AND('2015'!BY184,"AAAAAG7j30M=")</f>
        <v>#VALUE!</v>
      </c>
      <c r="BQ101" t="str">
        <f>IF('2015'!189:189,"AAAAAG7j30Q=",0)</f>
        <v>AAAAAG7j30Q=</v>
      </c>
      <c r="BR101" t="e">
        <f>AND('2015'!A189,"AAAAAG7j30U=")</f>
        <v>#VALUE!</v>
      </c>
      <c r="BS101" t="e">
        <f>AND('2015'!B189,"AAAAAG7j30Y=")</f>
        <v>#VALUE!</v>
      </c>
      <c r="BT101" t="e">
        <f>AND('2015'!C189,"AAAAAG7j30c=")</f>
        <v>#VALUE!</v>
      </c>
      <c r="BU101" t="e">
        <f>AND('2015'!D189,"AAAAAG7j30g=")</f>
        <v>#VALUE!</v>
      </c>
      <c r="BV101" t="e">
        <f>AND('2015'!E189,"AAAAAG7j30k=")</f>
        <v>#VALUE!</v>
      </c>
      <c r="BW101" t="e">
        <f>AND('2015'!F189,"AAAAAG7j30o=")</f>
        <v>#VALUE!</v>
      </c>
      <c r="BX101" t="e">
        <f>AND('2015'!G189,"AAAAAG7j30s=")</f>
        <v>#VALUE!</v>
      </c>
      <c r="BY101" t="e">
        <f>AND('2015'!H189,"AAAAAG7j30w=")</f>
        <v>#VALUE!</v>
      </c>
      <c r="BZ101" t="e">
        <f>AND('2015'!I189,"AAAAAG7j300=")</f>
        <v>#VALUE!</v>
      </c>
      <c r="CA101" t="e">
        <f>AND('2015'!J189,"AAAAAG7j304=")</f>
        <v>#VALUE!</v>
      </c>
      <c r="CB101" t="e">
        <f>AND('2015'!K189,"AAAAAG7j308=")</f>
        <v>#VALUE!</v>
      </c>
      <c r="CC101" t="e">
        <f>AND('2015'!L189,"AAAAAG7j31A=")</f>
        <v>#VALUE!</v>
      </c>
      <c r="CD101" t="e">
        <f>AND('2015'!M189,"AAAAAG7j31E=")</f>
        <v>#VALUE!</v>
      </c>
      <c r="CE101" t="e">
        <f>AND('2015'!N189,"AAAAAG7j31I=")</f>
        <v>#VALUE!</v>
      </c>
      <c r="CF101" t="e">
        <f>AND('2015'!O189,"AAAAAG7j31M=")</f>
        <v>#VALUE!</v>
      </c>
      <c r="CG101" t="e">
        <f>AND('2015'!P189,"AAAAAG7j31Q=")</f>
        <v>#VALUE!</v>
      </c>
      <c r="CH101" t="e">
        <f>AND('2015'!Q189,"AAAAAG7j31U=")</f>
        <v>#VALUE!</v>
      </c>
      <c r="CI101" t="e">
        <f>AND('2015'!R189,"AAAAAG7j31Y=")</f>
        <v>#VALUE!</v>
      </c>
      <c r="CJ101" t="e">
        <f>AND('2015'!S189,"AAAAAG7j31c=")</f>
        <v>#VALUE!</v>
      </c>
      <c r="CK101" t="e">
        <f>AND('2015'!T189,"AAAAAG7j31g=")</f>
        <v>#VALUE!</v>
      </c>
      <c r="CL101" t="e">
        <f>AND('2015'!U189,"AAAAAG7j31k=")</f>
        <v>#VALUE!</v>
      </c>
      <c r="CM101" t="e">
        <f>AND('2015'!V189,"AAAAAG7j31o=")</f>
        <v>#VALUE!</v>
      </c>
      <c r="CN101" t="e">
        <f>AND('2015'!W189,"AAAAAG7j31s=")</f>
        <v>#VALUE!</v>
      </c>
      <c r="CO101" t="e">
        <f>AND('2015'!X189,"AAAAAG7j31w=")</f>
        <v>#VALUE!</v>
      </c>
      <c r="CP101" t="e">
        <f>AND('2015'!Y189,"AAAAAG7j310=")</f>
        <v>#VALUE!</v>
      </c>
      <c r="CQ101" t="e">
        <f>AND('2015'!Z189,"AAAAAG7j314=")</f>
        <v>#VALUE!</v>
      </c>
      <c r="CR101" t="e">
        <f>AND('2015'!AA189,"AAAAAG7j318=")</f>
        <v>#VALUE!</v>
      </c>
      <c r="CS101" t="e">
        <f>AND('2015'!AB189,"AAAAAG7j32A=")</f>
        <v>#VALUE!</v>
      </c>
      <c r="CT101" t="e">
        <f>AND('2015'!AC189,"AAAAAG7j32E=")</f>
        <v>#VALUE!</v>
      </c>
      <c r="CU101" t="e">
        <f>AND('2015'!AD189,"AAAAAG7j32I=")</f>
        <v>#VALUE!</v>
      </c>
      <c r="CV101" t="e">
        <f>AND('2015'!AE189,"AAAAAG7j32M=")</f>
        <v>#VALUE!</v>
      </c>
      <c r="CW101" t="e">
        <f>AND('2015'!AF189,"AAAAAG7j32Q=")</f>
        <v>#VALUE!</v>
      </c>
      <c r="CX101" t="e">
        <f>AND('2015'!AG189,"AAAAAG7j32U=")</f>
        <v>#VALUE!</v>
      </c>
      <c r="CY101" t="e">
        <f>AND('2015'!AH189,"AAAAAG7j32Y=")</f>
        <v>#VALUE!</v>
      </c>
      <c r="CZ101" t="e">
        <f>AND('2015'!AI189,"AAAAAG7j32c=")</f>
        <v>#VALUE!</v>
      </c>
      <c r="DA101" t="e">
        <f>AND('2015'!AJ189,"AAAAAG7j32g=")</f>
        <v>#VALUE!</v>
      </c>
      <c r="DB101" t="e">
        <f>AND('2015'!AK189,"AAAAAG7j32k=")</f>
        <v>#VALUE!</v>
      </c>
      <c r="DC101" t="e">
        <f>AND('2015'!AL189,"AAAAAG7j32o=")</f>
        <v>#VALUE!</v>
      </c>
      <c r="DD101" t="e">
        <f>AND('2015'!AM189,"AAAAAG7j32s=")</f>
        <v>#VALUE!</v>
      </c>
      <c r="DE101" t="e">
        <f>AND('2015'!AN189,"AAAAAG7j32w=")</f>
        <v>#VALUE!</v>
      </c>
      <c r="DF101" t="e">
        <f>AND('2015'!AO189,"AAAAAG7j320=")</f>
        <v>#VALUE!</v>
      </c>
      <c r="DG101" t="e">
        <f>AND('2015'!AP189,"AAAAAG7j324=")</f>
        <v>#VALUE!</v>
      </c>
      <c r="DH101" t="e">
        <f>AND('2015'!AQ189,"AAAAAG7j328=")</f>
        <v>#VALUE!</v>
      </c>
      <c r="DI101" t="e">
        <f>AND('2015'!AR189,"AAAAAG7j33A=")</f>
        <v>#VALUE!</v>
      </c>
      <c r="DJ101" t="e">
        <f>AND('2015'!AS189,"AAAAAG7j33E=")</f>
        <v>#VALUE!</v>
      </c>
      <c r="DK101" t="e">
        <f>AND('2015'!AT189,"AAAAAG7j33I=")</f>
        <v>#VALUE!</v>
      </c>
      <c r="DL101" t="e">
        <f>AND('2015'!AU189,"AAAAAG7j33M=")</f>
        <v>#VALUE!</v>
      </c>
      <c r="DM101" t="e">
        <f>AND('2015'!AV189,"AAAAAG7j33Q=")</f>
        <v>#VALUE!</v>
      </c>
      <c r="DN101" t="e">
        <f>AND('2015'!AW189,"AAAAAG7j33U=")</f>
        <v>#VALUE!</v>
      </c>
      <c r="DO101" t="e">
        <f>AND('2015'!AX189,"AAAAAG7j33Y=")</f>
        <v>#VALUE!</v>
      </c>
      <c r="DP101" t="e">
        <f>AND('2015'!AY189,"AAAAAG7j33c=")</f>
        <v>#VALUE!</v>
      </c>
      <c r="DQ101" t="e">
        <f>AND('2015'!AZ189,"AAAAAG7j33g=")</f>
        <v>#VALUE!</v>
      </c>
      <c r="DR101" t="e">
        <f>AND('2015'!BA189,"AAAAAG7j33k=")</f>
        <v>#VALUE!</v>
      </c>
      <c r="DS101" t="e">
        <f>AND('2015'!BB189,"AAAAAG7j33o=")</f>
        <v>#VALUE!</v>
      </c>
      <c r="DT101" t="e">
        <f>AND('2015'!BC189,"AAAAAG7j33s=")</f>
        <v>#VALUE!</v>
      </c>
      <c r="DU101" t="e">
        <f>AND('2015'!BD189,"AAAAAG7j33w=")</f>
        <v>#VALUE!</v>
      </c>
      <c r="DV101" t="e">
        <f>AND('2015'!BE189,"AAAAAG7j330=")</f>
        <v>#VALUE!</v>
      </c>
      <c r="DW101" t="e">
        <f>AND('2015'!BF189,"AAAAAG7j334=")</f>
        <v>#VALUE!</v>
      </c>
      <c r="DX101" t="e">
        <f>AND('2015'!BG189,"AAAAAG7j338=")</f>
        <v>#VALUE!</v>
      </c>
      <c r="DY101" t="e">
        <f>AND('2015'!BH189,"AAAAAG7j34A=")</f>
        <v>#VALUE!</v>
      </c>
      <c r="DZ101" t="e">
        <f>AND('2015'!BI189,"AAAAAG7j34E=")</f>
        <v>#VALUE!</v>
      </c>
      <c r="EA101" t="e">
        <f>AND('2015'!BJ189,"AAAAAG7j34I=")</f>
        <v>#VALUE!</v>
      </c>
      <c r="EB101" t="e">
        <f>AND('2015'!BK189,"AAAAAG7j34M=")</f>
        <v>#VALUE!</v>
      </c>
      <c r="EC101" t="e">
        <f>AND('2015'!BL189,"AAAAAG7j34Q=")</f>
        <v>#VALUE!</v>
      </c>
      <c r="ED101" t="e">
        <f>AND('2015'!BM189,"AAAAAG7j34U=")</f>
        <v>#VALUE!</v>
      </c>
      <c r="EE101" t="e">
        <f>AND('2015'!BN189,"AAAAAG7j34Y=")</f>
        <v>#VALUE!</v>
      </c>
      <c r="EF101" t="e">
        <f>AND('2015'!BY189,"AAAAAG7j34c=")</f>
        <v>#VALUE!</v>
      </c>
    </row>
    <row r="102" spans="1:200" x14ac:dyDescent="0.25">
      <c r="A102">
        <f>IF('2015'!15:15,"AAAAAHv//gA=",0)</f>
        <v>0</v>
      </c>
      <c r="B102" t="e">
        <f>AND('2015'!A15,"AAAAAHv//gE=")</f>
        <v>#VALUE!</v>
      </c>
      <c r="C102" t="e">
        <f>AND('2015'!B15,"AAAAAHv//gI=")</f>
        <v>#VALUE!</v>
      </c>
      <c r="D102" t="e">
        <f>AND('2015'!C15,"AAAAAHv//gM=")</f>
        <v>#VALUE!</v>
      </c>
      <c r="E102" t="e">
        <f>AND('2015'!D15,"AAAAAHv//gQ=")</f>
        <v>#VALUE!</v>
      </c>
      <c r="F102" t="e">
        <f>AND('2015'!E15,"AAAAAHv//gU=")</f>
        <v>#VALUE!</v>
      </c>
      <c r="G102" t="e">
        <f>AND('2015'!F15,"AAAAAHv//gY=")</f>
        <v>#VALUE!</v>
      </c>
      <c r="H102" t="e">
        <f>AND('2015'!G15,"AAAAAHv//gc=")</f>
        <v>#VALUE!</v>
      </c>
      <c r="I102" t="e">
        <f>AND('2015'!H15,"AAAAAHv//gg=")</f>
        <v>#VALUE!</v>
      </c>
      <c r="J102" t="e">
        <f>AND('2015'!I15,"AAAAAHv//gk=")</f>
        <v>#VALUE!</v>
      </c>
      <c r="K102" t="e">
        <f>AND('2015'!J15,"AAAAAHv//go=")</f>
        <v>#VALUE!</v>
      </c>
      <c r="L102" t="e">
        <f>AND('2015'!K15,"AAAAAHv//gs=")</f>
        <v>#VALUE!</v>
      </c>
      <c r="M102" t="e">
        <f>AND('2015'!L15,"AAAAAHv//gw=")</f>
        <v>#VALUE!</v>
      </c>
      <c r="N102" t="e">
        <f>AND('2015'!M15,"AAAAAHv//g0=")</f>
        <v>#VALUE!</v>
      </c>
      <c r="O102" t="e">
        <f>AND('2015'!N15,"AAAAAHv//g4=")</f>
        <v>#VALUE!</v>
      </c>
      <c r="P102" t="e">
        <f>AND('2015'!O15,"AAAAAHv//g8=")</f>
        <v>#VALUE!</v>
      </c>
      <c r="Q102" t="e">
        <f>AND('2015'!P15,"AAAAAHv//hA=")</f>
        <v>#VALUE!</v>
      </c>
      <c r="R102" t="e">
        <f>AND('2015'!Q15,"AAAAAHv//hE=")</f>
        <v>#VALUE!</v>
      </c>
      <c r="S102" t="e">
        <f>AND('2015'!R15,"AAAAAHv//hI=")</f>
        <v>#VALUE!</v>
      </c>
      <c r="T102" t="e">
        <f>AND('2015'!S15,"AAAAAHv//hM=")</f>
        <v>#VALUE!</v>
      </c>
      <c r="U102" t="e">
        <f>AND('2015'!T15,"AAAAAHv//hQ=")</f>
        <v>#VALUE!</v>
      </c>
      <c r="V102" t="e">
        <f>AND('2015'!U15,"AAAAAHv//hU=")</f>
        <v>#VALUE!</v>
      </c>
      <c r="W102" t="e">
        <f>AND('2015'!V15,"AAAAAHv//hY=")</f>
        <v>#VALUE!</v>
      </c>
      <c r="X102" t="e">
        <f>AND('2015'!W15,"AAAAAHv//hc=")</f>
        <v>#VALUE!</v>
      </c>
      <c r="Y102" t="e">
        <f>AND('2015'!X15,"AAAAAHv//hg=")</f>
        <v>#VALUE!</v>
      </c>
      <c r="Z102" t="e">
        <f>AND('2015'!Y15,"AAAAAHv//hk=")</f>
        <v>#VALUE!</v>
      </c>
      <c r="AA102" t="e">
        <f>AND('2015'!Z15,"AAAAAHv//ho=")</f>
        <v>#VALUE!</v>
      </c>
      <c r="AB102" t="e">
        <f>AND('2015'!AA15,"AAAAAHv//hs=")</f>
        <v>#VALUE!</v>
      </c>
      <c r="AC102" t="e">
        <f>AND('2015'!AB15,"AAAAAHv//hw=")</f>
        <v>#VALUE!</v>
      </c>
      <c r="AD102" t="e">
        <f>AND('2015'!AC15,"AAAAAHv//h0=")</f>
        <v>#VALUE!</v>
      </c>
      <c r="AE102" t="e">
        <f>AND('2015'!AD15,"AAAAAHv//h4=")</f>
        <v>#VALUE!</v>
      </c>
      <c r="AF102" t="e">
        <f>AND('2015'!AE15,"AAAAAHv//h8=")</f>
        <v>#VALUE!</v>
      </c>
      <c r="AG102" t="e">
        <f>AND('2015'!AF15,"AAAAAHv//iA=")</f>
        <v>#VALUE!</v>
      </c>
      <c r="AH102" t="e">
        <f>AND('2015'!AG15,"AAAAAHv//iE=")</f>
        <v>#VALUE!</v>
      </c>
      <c r="AI102" t="e">
        <f>AND('2015'!AH15,"AAAAAHv//iI=")</f>
        <v>#VALUE!</v>
      </c>
      <c r="AJ102" t="e">
        <f>AND('2015'!AI15,"AAAAAHv//iM=")</f>
        <v>#VALUE!</v>
      </c>
      <c r="AK102" t="e">
        <f>AND('2015'!AJ15,"AAAAAHv//iQ=")</f>
        <v>#VALUE!</v>
      </c>
      <c r="AL102" t="e">
        <f>AND('2015'!AK15,"AAAAAHv//iU=")</f>
        <v>#VALUE!</v>
      </c>
      <c r="AM102" t="e">
        <f>AND('2015'!AL15,"AAAAAHv//iY=")</f>
        <v>#VALUE!</v>
      </c>
      <c r="AN102" t="e">
        <f>AND('2015'!AM15,"AAAAAHv//ic=")</f>
        <v>#VALUE!</v>
      </c>
      <c r="AO102" t="e">
        <f>AND('2015'!AN15,"AAAAAHv//ig=")</f>
        <v>#VALUE!</v>
      </c>
      <c r="AP102" t="e">
        <f>AND('2015'!AO15,"AAAAAHv//ik=")</f>
        <v>#VALUE!</v>
      </c>
      <c r="AQ102" t="e">
        <f>AND('2015'!AP15,"AAAAAHv//io=")</f>
        <v>#VALUE!</v>
      </c>
      <c r="AR102" t="e">
        <f>AND('2015'!AQ15,"AAAAAHv//is=")</f>
        <v>#VALUE!</v>
      </c>
      <c r="AS102" t="e">
        <f>AND('2015'!AR15,"AAAAAHv//iw=")</f>
        <v>#VALUE!</v>
      </c>
      <c r="AT102" t="e">
        <f>AND('2015'!AS15,"AAAAAHv//i0=")</f>
        <v>#VALUE!</v>
      </c>
      <c r="AU102" t="e">
        <f>AND('2015'!AT15,"AAAAAHv//i4=")</f>
        <v>#VALUE!</v>
      </c>
      <c r="AV102" t="e">
        <f>AND('2015'!AU15,"AAAAAHv//i8=")</f>
        <v>#VALUE!</v>
      </c>
      <c r="AW102" t="e">
        <f>AND('2015'!AV15,"AAAAAHv//jA=")</f>
        <v>#VALUE!</v>
      </c>
      <c r="AX102" t="e">
        <f>AND('2015'!AW15,"AAAAAHv//jE=")</f>
        <v>#VALUE!</v>
      </c>
      <c r="AY102" t="e">
        <f>AND('2015'!AX15,"AAAAAHv//jI=")</f>
        <v>#VALUE!</v>
      </c>
      <c r="AZ102" t="e">
        <f>AND('2015'!AY15,"AAAAAHv//jM=")</f>
        <v>#VALUE!</v>
      </c>
      <c r="BA102" t="e">
        <f>AND('2015'!AZ15,"AAAAAHv//jQ=")</f>
        <v>#VALUE!</v>
      </c>
      <c r="BB102" t="e">
        <f>AND('2015'!BA15,"AAAAAHv//jU=")</f>
        <v>#VALUE!</v>
      </c>
      <c r="BC102" t="e">
        <f>AND('2015'!BB15,"AAAAAHv//jY=")</f>
        <v>#VALUE!</v>
      </c>
      <c r="BD102" t="e">
        <f>AND('2015'!BC15,"AAAAAHv//jc=")</f>
        <v>#VALUE!</v>
      </c>
      <c r="BE102" t="e">
        <f>AND('2015'!BD15,"AAAAAHv//jg=")</f>
        <v>#VALUE!</v>
      </c>
      <c r="BF102" t="e">
        <f>AND('2015'!BE15,"AAAAAHv//jk=")</f>
        <v>#VALUE!</v>
      </c>
      <c r="BG102" t="e">
        <f>AND('2015'!BF15,"AAAAAHv//jo=")</f>
        <v>#VALUE!</v>
      </c>
      <c r="BH102" t="e">
        <f>AND('2015'!BG15,"AAAAAHv//js=")</f>
        <v>#VALUE!</v>
      </c>
      <c r="BI102" t="e">
        <f>AND('2015'!BH15,"AAAAAHv//jw=")</f>
        <v>#VALUE!</v>
      </c>
      <c r="BJ102" t="e">
        <f>AND('2015'!BI15,"AAAAAHv//j0=")</f>
        <v>#VALUE!</v>
      </c>
      <c r="BK102" t="e">
        <f>AND('2015'!BJ15,"AAAAAHv//j4=")</f>
        <v>#VALUE!</v>
      </c>
      <c r="BL102" t="e">
        <f>AND('2015'!BK15,"AAAAAHv//j8=")</f>
        <v>#VALUE!</v>
      </c>
      <c r="BM102" t="e">
        <f>AND('2015'!BL15,"AAAAAHv//kA=")</f>
        <v>#VALUE!</v>
      </c>
      <c r="BN102" t="e">
        <f>AND('2015'!BM15,"AAAAAHv//kE=")</f>
        <v>#VALUE!</v>
      </c>
      <c r="BO102" t="e">
        <f>AND('2015'!BN15,"AAAAAHv//kI=")</f>
        <v>#VALUE!</v>
      </c>
      <c r="BP102" t="e">
        <f>AND('2015'!BY15,"AAAAAHv//kM=")</f>
        <v>#VALUE!</v>
      </c>
      <c r="BQ102" t="str">
        <f>IF('2015'!18:18,"AAAAAHv//kQ=",0)</f>
        <v>AAAAAHv//kQ=</v>
      </c>
      <c r="BR102" t="e">
        <f>AND('2015'!A18,"AAAAAHv//kU=")</f>
        <v>#VALUE!</v>
      </c>
      <c r="BS102" t="e">
        <f>AND('2015'!B18,"AAAAAHv//kY=")</f>
        <v>#VALUE!</v>
      </c>
      <c r="BT102" t="e">
        <f>AND('2015'!C18,"AAAAAHv//kc=")</f>
        <v>#VALUE!</v>
      </c>
      <c r="BU102" t="e">
        <f>AND('2015'!D18,"AAAAAHv//kg=")</f>
        <v>#VALUE!</v>
      </c>
      <c r="BV102" t="e">
        <f>AND('2015'!E18,"AAAAAHv//kk=")</f>
        <v>#VALUE!</v>
      </c>
      <c r="BW102" t="e">
        <f>AND('2015'!F18,"AAAAAHv//ko=")</f>
        <v>#VALUE!</v>
      </c>
      <c r="BX102" t="e">
        <f>AND('2015'!G18,"AAAAAHv//ks=")</f>
        <v>#VALUE!</v>
      </c>
      <c r="BY102" t="e">
        <f>AND('2015'!H18,"AAAAAHv//kw=")</f>
        <v>#VALUE!</v>
      </c>
      <c r="BZ102" t="e">
        <f>AND('2015'!I18,"AAAAAHv//k0=")</f>
        <v>#VALUE!</v>
      </c>
      <c r="CA102" t="e">
        <f>AND('2015'!J18,"AAAAAHv//k4=")</f>
        <v>#VALUE!</v>
      </c>
      <c r="CB102" t="e">
        <f>AND('2015'!K18,"AAAAAHv//k8=")</f>
        <v>#VALUE!</v>
      </c>
      <c r="CC102" t="e">
        <f>AND('2015'!L18,"AAAAAHv//lA=")</f>
        <v>#VALUE!</v>
      </c>
      <c r="CD102" t="e">
        <f>AND('2015'!M18,"AAAAAHv//lE=")</f>
        <v>#VALUE!</v>
      </c>
      <c r="CE102" t="e">
        <f>AND('2015'!N18,"AAAAAHv//lI=")</f>
        <v>#VALUE!</v>
      </c>
      <c r="CF102" t="e">
        <f>AND('2015'!O18,"AAAAAHv//lM=")</f>
        <v>#VALUE!</v>
      </c>
      <c r="CG102" t="e">
        <f>AND('2015'!P18,"AAAAAHv//lQ=")</f>
        <v>#VALUE!</v>
      </c>
      <c r="CH102" t="e">
        <f>AND('2015'!Q18,"AAAAAHv//lU=")</f>
        <v>#VALUE!</v>
      </c>
      <c r="CI102" t="e">
        <f>AND('2015'!R18,"AAAAAHv//lY=")</f>
        <v>#VALUE!</v>
      </c>
      <c r="CJ102" t="e">
        <f>AND('2015'!S18,"AAAAAHv//lc=")</f>
        <v>#VALUE!</v>
      </c>
      <c r="CK102" t="e">
        <f>AND('2015'!T18,"AAAAAHv//lg=")</f>
        <v>#VALUE!</v>
      </c>
      <c r="CL102" t="e">
        <f>AND('2015'!U18,"AAAAAHv//lk=")</f>
        <v>#VALUE!</v>
      </c>
      <c r="CM102" t="e">
        <f>AND('2015'!V18,"AAAAAHv//lo=")</f>
        <v>#VALUE!</v>
      </c>
      <c r="CN102" t="e">
        <f>AND('2015'!W18,"AAAAAHv//ls=")</f>
        <v>#VALUE!</v>
      </c>
      <c r="CO102" t="e">
        <f>AND('2015'!X18,"AAAAAHv//lw=")</f>
        <v>#VALUE!</v>
      </c>
      <c r="CP102" t="e">
        <f>AND('2015'!Y18,"AAAAAHv//l0=")</f>
        <v>#VALUE!</v>
      </c>
      <c r="CQ102" t="e">
        <f>AND('2015'!Z18,"AAAAAHv//l4=")</f>
        <v>#VALUE!</v>
      </c>
      <c r="CR102" t="e">
        <f>AND('2015'!AA18,"AAAAAHv//l8=")</f>
        <v>#VALUE!</v>
      </c>
      <c r="CS102" t="e">
        <f>AND('2015'!AB18,"AAAAAHv//mA=")</f>
        <v>#VALUE!</v>
      </c>
      <c r="CT102" t="e">
        <f>AND('2015'!AC18,"AAAAAHv//mE=")</f>
        <v>#VALUE!</v>
      </c>
      <c r="CU102" t="e">
        <f>AND('2015'!AD18,"AAAAAHv//mI=")</f>
        <v>#VALUE!</v>
      </c>
      <c r="CV102" t="e">
        <f>AND('2015'!AE18,"AAAAAHv//mM=")</f>
        <v>#VALUE!</v>
      </c>
      <c r="CW102" t="e">
        <f>AND('2015'!AF18,"AAAAAHv//mQ=")</f>
        <v>#VALUE!</v>
      </c>
      <c r="CX102" t="e">
        <f>AND('2015'!AG18,"AAAAAHv//mU=")</f>
        <v>#VALUE!</v>
      </c>
      <c r="CY102" t="e">
        <f>AND('2015'!AH18,"AAAAAHv//mY=")</f>
        <v>#VALUE!</v>
      </c>
      <c r="CZ102" t="e">
        <f>AND('2015'!AI18,"AAAAAHv//mc=")</f>
        <v>#VALUE!</v>
      </c>
      <c r="DA102" t="e">
        <f>AND('2015'!AJ18,"AAAAAHv//mg=")</f>
        <v>#VALUE!</v>
      </c>
      <c r="DB102" t="e">
        <f>AND('2015'!AK18,"AAAAAHv//mk=")</f>
        <v>#VALUE!</v>
      </c>
      <c r="DC102" t="e">
        <f>AND('2015'!AL18,"AAAAAHv//mo=")</f>
        <v>#VALUE!</v>
      </c>
      <c r="DD102" t="e">
        <f>AND('2015'!AM18,"AAAAAHv//ms=")</f>
        <v>#VALUE!</v>
      </c>
      <c r="DE102" t="e">
        <f>AND('2015'!AN18,"AAAAAHv//mw=")</f>
        <v>#VALUE!</v>
      </c>
      <c r="DF102" t="e">
        <f>AND('2015'!AO18,"AAAAAHv//m0=")</f>
        <v>#VALUE!</v>
      </c>
      <c r="DG102" t="e">
        <f>AND('2015'!AP18,"AAAAAHv//m4=")</f>
        <v>#VALUE!</v>
      </c>
      <c r="DH102" t="e">
        <f>AND('2015'!AQ18,"AAAAAHv//m8=")</f>
        <v>#VALUE!</v>
      </c>
      <c r="DI102" t="e">
        <f>AND('2015'!AR18,"AAAAAHv//nA=")</f>
        <v>#VALUE!</v>
      </c>
      <c r="DJ102" t="e">
        <f>AND('2015'!AS18,"AAAAAHv//nE=")</f>
        <v>#VALUE!</v>
      </c>
      <c r="DK102" t="e">
        <f>AND('2015'!AT18,"AAAAAHv//nI=")</f>
        <v>#VALUE!</v>
      </c>
      <c r="DL102" t="e">
        <f>AND('2015'!AU18,"AAAAAHv//nM=")</f>
        <v>#VALUE!</v>
      </c>
      <c r="DM102" t="e">
        <f>AND('2015'!AV18,"AAAAAHv//nQ=")</f>
        <v>#VALUE!</v>
      </c>
      <c r="DN102" t="e">
        <f>AND('2015'!AW18,"AAAAAHv//nU=")</f>
        <v>#VALUE!</v>
      </c>
      <c r="DO102" t="e">
        <f>AND('2015'!AX18,"AAAAAHv//nY=")</f>
        <v>#VALUE!</v>
      </c>
      <c r="DP102" t="e">
        <f>AND('2015'!AY18,"AAAAAHv//nc=")</f>
        <v>#VALUE!</v>
      </c>
      <c r="DQ102" t="e">
        <f>AND('2015'!AZ18,"AAAAAHv//ng=")</f>
        <v>#VALUE!</v>
      </c>
      <c r="DR102" t="e">
        <f>AND('2015'!BA18,"AAAAAHv//nk=")</f>
        <v>#VALUE!</v>
      </c>
      <c r="DS102" t="e">
        <f>AND('2015'!BB18,"AAAAAHv//no=")</f>
        <v>#VALUE!</v>
      </c>
      <c r="DT102" t="e">
        <f>AND('2015'!BC18,"AAAAAHv//ns=")</f>
        <v>#VALUE!</v>
      </c>
      <c r="DU102" t="e">
        <f>AND('2015'!BD18,"AAAAAHv//nw=")</f>
        <v>#VALUE!</v>
      </c>
      <c r="DV102" t="e">
        <f>AND('2015'!BE18,"AAAAAHv//n0=")</f>
        <v>#VALUE!</v>
      </c>
      <c r="DW102" t="e">
        <f>AND('2015'!BF18,"AAAAAHv//n4=")</f>
        <v>#VALUE!</v>
      </c>
      <c r="DX102" t="e">
        <f>AND('2015'!BG18,"AAAAAHv//n8=")</f>
        <v>#VALUE!</v>
      </c>
      <c r="DY102" t="e">
        <f>AND('2015'!BH18,"AAAAAHv//oA=")</f>
        <v>#VALUE!</v>
      </c>
      <c r="DZ102" t="e">
        <f>AND('2015'!BI18,"AAAAAHv//oE=")</f>
        <v>#VALUE!</v>
      </c>
      <c r="EA102" t="e">
        <f>AND('2015'!BJ18,"AAAAAHv//oI=")</f>
        <v>#VALUE!</v>
      </c>
      <c r="EB102" t="e">
        <f>AND('2015'!BK18,"AAAAAHv//oM=")</f>
        <v>#VALUE!</v>
      </c>
      <c r="EC102" t="e">
        <f>AND('2015'!BL18,"AAAAAHv//oQ=")</f>
        <v>#VALUE!</v>
      </c>
      <c r="ED102" t="e">
        <f>AND('2015'!BM18,"AAAAAHv//oU=")</f>
        <v>#VALUE!</v>
      </c>
      <c r="EE102" t="e">
        <f>AND('2015'!BN18,"AAAAAHv//oY=")</f>
        <v>#VALUE!</v>
      </c>
      <c r="EF102" t="e">
        <f>AND('2015'!BY18,"AAAAAHv//oc=")</f>
        <v>#VALUE!</v>
      </c>
      <c r="EG102" t="e">
        <f>IF("N",'2015'!_xlnm.Print_Area,"AAAAAHv//og=")</f>
        <v>#VALUE!</v>
      </c>
    </row>
  </sheetData>
  <pageMargins left="0.7" right="0.7" top="0.75" bottom="0.75" header="0.3" footer="0.3"/>
  <customProperties>
    <customPr name="DVSECTIONID" r:id="rId1"/>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Combined for 2016</vt:lpstr>
      <vt:lpstr>2015</vt:lpstr>
      <vt:lpstr>Sheet2</vt:lpstr>
      <vt:lpstr>Sheet3</vt:lpstr>
      <vt:lpstr>'2015'!Print_Area</vt:lpstr>
      <vt:lpstr>'Combined for 2016'!Print_Area</vt:lpstr>
      <vt:lpstr>'2015'!Print_Titles</vt:lpstr>
      <vt:lpstr>'Combined for 2016'!Print_Titles</vt:lpstr>
    </vt:vector>
  </TitlesOfParts>
  <Company>bcfpd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solsen</dc:creator>
  <cp:lastModifiedBy>sscholl</cp:lastModifiedBy>
  <cp:lastPrinted>2016-05-17T12:09:27Z</cp:lastPrinted>
  <dcterms:created xsi:type="dcterms:W3CDTF">2010-04-13T14:47:15Z</dcterms:created>
  <dcterms:modified xsi:type="dcterms:W3CDTF">2016-05-17T12:09:28Z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oogle.Documents.Tracking">
    <vt:lpwstr>true</vt:lpwstr>
  </property>
  <property fmtid="{D5CDD505-2E9C-101B-9397-08002B2CF9AE}" pid="3" name="Google.Documents.DocumentId">
    <vt:lpwstr>1d3XM4WY2DBaJlims3uiqywq-esZDfKjFNgWfJzmqoWM</vt:lpwstr>
  </property>
  <property fmtid="{D5CDD505-2E9C-101B-9397-08002B2CF9AE}" pid="4" name="Google.Documents.RevisionId">
    <vt:lpwstr>03525643275834109242</vt:lpwstr>
  </property>
  <property fmtid="{D5CDD505-2E9C-101B-9397-08002B2CF9AE}" pid="5" name="Google.Documents.PreviousRevisionId">
    <vt:lpwstr>02722487864553168733</vt:lpwstr>
  </property>
  <property fmtid="{D5CDD505-2E9C-101B-9397-08002B2CF9AE}" pid="6" name="Google.Documents.PluginVersion">
    <vt:lpwstr>2.0.2662.553</vt:lpwstr>
  </property>
  <property fmtid="{D5CDD505-2E9C-101B-9397-08002B2CF9AE}" pid="7" name="Google.Documents.MergeIncapabilityFlags">
    <vt:i4>0</vt:i4>
  </property>
</Properties>
</file>