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Projected Income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<sst xmlns="http://schemas.openxmlformats.org/spreadsheetml/2006/main" count="59" uniqueCount="54">
  <si>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Boone County Fire Protection District</t>
  </si>
  <si>
    <t>REAL ESTATE</t>
  </si>
  <si>
    <t>Assessed Valuations</t>
  </si>
  <si>
    <t>Main Fund</t>
  </si>
  <si>
    <t>Dispatch Fund</t>
  </si>
  <si>
    <t>Bond Fund</t>
  </si>
  <si>
    <t>Residential</t>
  </si>
  <si>
    <t>Agricultural</t>
  </si>
  <si>
    <t>Commercial</t>
  </si>
  <si>
    <t>TOTAL REAL ESTATE</t>
  </si>
  <si>
    <t>PERSONAL</t>
  </si>
  <si>
    <t>STATE ASSESSED</t>
  </si>
  <si>
    <t>TOTAL ASSESSED VALUATIONS</t>
  </si>
  <si>
    <t>July 10, 2005 Preliminary Valuations</t>
  </si>
  <si>
    <t>December 31, 2005 Assessed Valuations</t>
  </si>
  <si>
    <t>July 12, 2006 Preliminary Valuations</t>
  </si>
  <si>
    <t>December 31, 2007 Assessed Valuations</t>
  </si>
  <si>
    <t>July 3, 2007 Preliminary Valuations</t>
  </si>
  <si>
    <t>July 9, 2008 Preliminary Valuations</t>
  </si>
  <si>
    <t>INCOME CALCULATIONS</t>
  </si>
  <si>
    <t>Boone County Taxes</t>
  </si>
  <si>
    <t>Tax Rates</t>
  </si>
  <si>
    <t>Less Fees .5% +.5% and Delinquent Taxes 3.5%</t>
  </si>
  <si>
    <t>Net Taxes</t>
  </si>
  <si>
    <t>Interest</t>
  </si>
  <si>
    <t>Rent Income</t>
  </si>
  <si>
    <t xml:space="preserve"> </t>
  </si>
  <si>
    <t>Reports</t>
  </si>
  <si>
    <t xml:space="preserve">FEMA Lease </t>
  </si>
  <si>
    <t>Miscellaneous Income</t>
  </si>
  <si>
    <t>Net Revenue</t>
  </si>
  <si>
    <t>December 31, 2008 Assessed Valuations</t>
  </si>
  <si>
    <t>This is the amount of the Cooperative Agreement that the City of Columbia will pay on an annual basis to the Fire District</t>
  </si>
  <si>
    <t>Rent Income - Tower Rent, Warehouse Space (excluding MO-TF1), Highway Patrol Lease</t>
  </si>
  <si>
    <t>June 30, 2010 Preliminary Valuations</t>
  </si>
  <si>
    <t>December 31, 2010 Assessed Valuations</t>
  </si>
  <si>
    <t>June 30, 2011 Preliminary Valuations</t>
  </si>
  <si>
    <t>December 31, 2011 Assessed Valuations</t>
  </si>
  <si>
    <t>June 30, 2012 Preliminary Valuations</t>
  </si>
  <si>
    <t>FEMA Lease -  Amount MO-TF1 pays for warehouse and office space</t>
  </si>
  <si>
    <t>Reports - Insurance Report Requests for accidents and fires.</t>
  </si>
  <si>
    <t>AAAAAF5Tz4A=</t>
  </si>
  <si>
    <t>AAAAAF5Tz4E=</t>
  </si>
  <si>
    <t>December 31, 2012 Assessed Valuations</t>
  </si>
  <si>
    <t>June 30, 2013 Preliminary Valuations</t>
  </si>
  <si>
    <t>Interest -  Interest is staying fairly steady</t>
  </si>
  <si>
    <t>Miscellaneous Income - Clothing sales</t>
  </si>
  <si>
    <t>December 31, 2013 Assessed Valuations</t>
  </si>
  <si>
    <t>June 30, 2014 Preliminary Valuations</t>
  </si>
  <si>
    <t>Projected Income Fiscal Year 2015</t>
  </si>
  <si>
    <t>2015 Preliminary Assessed Valuation Breakdown</t>
  </si>
  <si>
    <t>December 31, 2014 Assessed Valuations</t>
  </si>
  <si>
    <t>June 30, 2015 Preliminary Valuations</t>
  </si>
  <si>
    <t>December 31, 2015 Assessed Valuations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</si>
</sst>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_);_(@_)"/>
    <numFmt numFmtId="167" formatCode="&quot;$&quot;#,##0.00"/>
    <numFmt numFmtId="168" formatCode="&quot;$&quot;#,##0.00;[Red]&quot;$&quot;#,##0.00"/>
    <numFmt numFmtId="169" formatCode="#,##0.00;[Red]#,##0.00"/>
    <numFmt numFmtId="170" formatCode="0.00;[Red]0.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4" fontId="0" fillId="0" borderId="0" xfId="44" applyFont="1" applyBorder="1" applyAlignment="1">
      <alignment/>
    </xf>
    <xf numFmtId="0" fontId="3" fillId="16" borderId="0" xfId="0" applyFont="1" applyFill="1" applyAlignment="1">
      <alignment/>
    </xf>
    <xf numFmtId="44" fontId="0" fillId="0" borderId="0" xfId="44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4" fontId="7" fillId="33" borderId="11" xfId="44" applyFont="1" applyFill="1" applyBorder="1" applyAlignment="1">
      <alignment horizontal="center"/>
    </xf>
    <xf numFmtId="44" fontId="7" fillId="33" borderId="12" xfId="44" applyFont="1" applyFill="1" applyBorder="1" applyAlignment="1">
      <alignment horizontal="center"/>
    </xf>
    <xf numFmtId="0" fontId="7" fillId="0" borderId="0" xfId="0" applyFont="1" applyBorder="1" applyAlignment="1">
      <alignment horizontal="left" indent="3"/>
    </xf>
    <xf numFmtId="44" fontId="8" fillId="0" borderId="0" xfId="44" applyFont="1" applyBorder="1" applyAlignment="1">
      <alignment/>
    </xf>
    <xf numFmtId="44" fontId="8" fillId="0" borderId="13" xfId="44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44" applyFont="1" applyBorder="1" applyAlignment="1">
      <alignment/>
    </xf>
    <xf numFmtId="44" fontId="8" fillId="0" borderId="0" xfId="44" applyFont="1" applyAlignment="1">
      <alignment/>
    </xf>
    <xf numFmtId="0" fontId="7" fillId="0" borderId="0" xfId="0" applyFont="1" applyBorder="1" applyAlignment="1">
      <alignment/>
    </xf>
    <xf numFmtId="44" fontId="10" fillId="0" borderId="14" xfId="44" applyFont="1" applyBorder="1" applyAlignment="1">
      <alignment/>
    </xf>
    <xf numFmtId="42" fontId="11" fillId="34" borderId="10" xfId="44" applyNumberFormat="1" applyFont="1" applyFill="1" applyBorder="1" applyAlignment="1">
      <alignment horizontal="left"/>
    </xf>
    <xf numFmtId="42" fontId="11" fillId="34" borderId="12" xfId="44" applyNumberFormat="1" applyFont="1" applyFill="1" applyBorder="1" applyAlignment="1">
      <alignment horizontal="left"/>
    </xf>
    <xf numFmtId="44" fontId="11" fillId="34" borderId="12" xfId="44" applyFont="1" applyFill="1" applyBorder="1" applyAlignment="1">
      <alignment horizontal="center"/>
    </xf>
    <xf numFmtId="44" fontId="12" fillId="0" borderId="0" xfId="44" applyFont="1" applyBorder="1" applyAlignment="1">
      <alignment horizontal="center"/>
    </xf>
    <xf numFmtId="42" fontId="11" fillId="33" borderId="10" xfId="44" applyNumberFormat="1" applyFont="1" applyFill="1" applyBorder="1" applyAlignment="1">
      <alignment horizontal="left"/>
    </xf>
    <xf numFmtId="42" fontId="11" fillId="33" borderId="11" xfId="44" applyNumberFormat="1" applyFont="1" applyFill="1" applyBorder="1" applyAlignment="1">
      <alignment horizontal="left"/>
    </xf>
    <xf numFmtId="44" fontId="11" fillId="33" borderId="12" xfId="44" applyFont="1" applyFill="1" applyBorder="1" applyAlignment="1">
      <alignment horizontal="center"/>
    </xf>
    <xf numFmtId="44" fontId="11" fillId="35" borderId="15" xfId="44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44" fontId="14" fillId="33" borderId="11" xfId="44" applyFont="1" applyFill="1" applyBorder="1" applyAlignment="1">
      <alignment horizontal="center"/>
    </xf>
    <xf numFmtId="0" fontId="13" fillId="34" borderId="16" xfId="0" applyFont="1" applyFill="1" applyBorder="1" applyAlignment="1">
      <alignment/>
    </xf>
    <xf numFmtId="44" fontId="13" fillId="34" borderId="16" xfId="44" applyFont="1" applyFill="1" applyBorder="1" applyAlignment="1">
      <alignment/>
    </xf>
    <xf numFmtId="0" fontId="14" fillId="34" borderId="17" xfId="0" applyFont="1" applyFill="1" applyBorder="1" applyAlignment="1">
      <alignment horizontal="right"/>
    </xf>
    <xf numFmtId="165" fontId="14" fillId="34" borderId="17" xfId="0" applyNumberFormat="1" applyFont="1" applyFill="1" applyBorder="1" applyAlignment="1">
      <alignment/>
    </xf>
    <xf numFmtId="165" fontId="14" fillId="34" borderId="17" xfId="44" applyNumberFormat="1" applyFont="1" applyFill="1" applyBorder="1" applyAlignment="1">
      <alignment horizontal="right"/>
    </xf>
    <xf numFmtId="0" fontId="13" fillId="0" borderId="17" xfId="0" applyFont="1" applyBorder="1" applyAlignment="1">
      <alignment wrapText="1"/>
    </xf>
    <xf numFmtId="10" fontId="13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/>
    </xf>
    <xf numFmtId="0" fontId="14" fillId="33" borderId="17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left" indent="2"/>
    </xf>
    <xf numFmtId="44" fontId="14" fillId="33" borderId="16" xfId="44" applyFont="1" applyFill="1" applyBorder="1" applyAlignment="1">
      <alignment horizontal="right"/>
    </xf>
    <xf numFmtId="0" fontId="13" fillId="0" borderId="17" xfId="0" applyFont="1" applyBorder="1" applyAlignment="1">
      <alignment/>
    </xf>
    <xf numFmtId="44" fontId="13" fillId="0" borderId="17" xfId="44" applyFont="1" applyBorder="1" applyAlignment="1">
      <alignment/>
    </xf>
    <xf numFmtId="0" fontId="51" fillId="36" borderId="17" xfId="0" applyFont="1" applyFill="1" applyBorder="1" applyAlignment="1">
      <alignment/>
    </xf>
    <xf numFmtId="44" fontId="51" fillId="36" borderId="17" xfId="44" applyFont="1" applyFill="1" applyBorder="1" applyAlignment="1">
      <alignment/>
    </xf>
    <xf numFmtId="0" fontId="51" fillId="37" borderId="17" xfId="0" applyFont="1" applyFill="1" applyBorder="1" applyAlignment="1">
      <alignment/>
    </xf>
    <xf numFmtId="44" fontId="51" fillId="37" borderId="17" xfId="44" applyFont="1" applyFill="1" applyBorder="1" applyAlignment="1">
      <alignment/>
    </xf>
    <xf numFmtId="0" fontId="51" fillId="38" borderId="17" xfId="0" applyFont="1" applyFill="1" applyBorder="1" applyAlignment="1">
      <alignment/>
    </xf>
    <xf numFmtId="44" fontId="51" fillId="38" borderId="17" xfId="44" applyFont="1" applyFill="1" applyBorder="1" applyAlignment="1">
      <alignment/>
    </xf>
    <xf numFmtId="0" fontId="51" fillId="39" borderId="17" xfId="0" applyFont="1" applyFill="1" applyBorder="1" applyAlignment="1">
      <alignment/>
    </xf>
    <xf numFmtId="44" fontId="51" fillId="39" borderId="18" xfId="44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 horizontal="left" indent="2"/>
    </xf>
    <xf numFmtId="44" fontId="14" fillId="33" borderId="14" xfId="44" applyFont="1" applyFill="1" applyBorder="1" applyAlignment="1">
      <alignment/>
    </xf>
    <xf numFmtId="44" fontId="11" fillId="33" borderId="19" xfId="44" applyFont="1" applyFill="1" applyBorder="1" applyAlignment="1">
      <alignment horizontal="center"/>
    </xf>
    <xf numFmtId="42" fontId="11" fillId="34" borderId="20" xfId="44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42" fontId="11" fillId="34" borderId="13" xfId="44" applyNumberFormat="1" applyFont="1" applyFill="1" applyBorder="1" applyAlignment="1">
      <alignment horizontal="left"/>
    </xf>
    <xf numFmtId="42" fontId="11" fillId="34" borderId="11" xfId="44" applyNumberFormat="1" applyFont="1" applyFill="1" applyBorder="1" applyAlignment="1">
      <alignment horizontal="left"/>
    </xf>
    <xf numFmtId="44" fontId="11" fillId="34" borderId="21" xfId="44" applyFont="1" applyFill="1" applyBorder="1" applyAlignment="1">
      <alignment horizontal="center"/>
    </xf>
    <xf numFmtId="44" fontId="11" fillId="33" borderId="15" xfId="44" applyFont="1" applyFill="1" applyBorder="1" applyAlignment="1">
      <alignment horizontal="center"/>
    </xf>
    <xf numFmtId="44" fontId="11" fillId="34" borderId="15" xfId="44" applyFont="1" applyFill="1" applyBorder="1" applyAlignment="1">
      <alignment horizontal="center"/>
    </xf>
    <xf numFmtId="44" fontId="11" fillId="0" borderId="15" xfId="44" applyFont="1" applyFill="1" applyBorder="1" applyAlignment="1">
      <alignment horizontal="center"/>
    </xf>
    <xf numFmtId="42" fontId="11" fillId="35" borderId="15" xfId="44" applyNumberFormat="1" applyFont="1" applyFill="1" applyBorder="1" applyAlignment="1">
      <alignment horizontal="left"/>
    </xf>
    <xf numFmtId="42" fontId="11" fillId="0" borderId="15" xfId="44" applyNumberFormat="1" applyFont="1" applyFill="1" applyBorder="1" applyAlignment="1">
      <alignment horizontal="left"/>
    </xf>
    <xf numFmtId="44" fontId="13" fillId="0" borderId="17" xfId="44" applyFont="1" applyFill="1" applyBorder="1" applyAlignment="1">
      <alignment/>
    </xf>
    <xf numFmtId="0" fontId="14" fillId="16" borderId="17" xfId="0" applyFont="1" applyFill="1" applyBorder="1" applyAlignment="1">
      <alignment/>
    </xf>
    <xf numFmtId="44" fontId="14" fillId="16" borderId="17" xfId="44" applyFont="1" applyFill="1" applyBorder="1" applyAlignment="1">
      <alignment/>
    </xf>
    <xf numFmtId="44" fontId="4" fillId="0" borderId="0" xfId="4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2" fontId="11" fillId="33" borderId="22" xfId="44" applyNumberFormat="1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42" fontId="11" fillId="0" borderId="10" xfId="44" applyNumberFormat="1" applyFont="1" applyFill="1" applyBorder="1" applyAlignment="1">
      <alignment horizontal="left"/>
    </xf>
    <xf numFmtId="42" fontId="11" fillId="0" borderId="11" xfId="44" applyNumberFormat="1" applyFont="1" applyFill="1" applyBorder="1" applyAlignment="1">
      <alignment horizontal="left"/>
    </xf>
    <xf numFmtId="42" fontId="11" fillId="35" borderId="10" xfId="44" applyNumberFormat="1" applyFont="1" applyFill="1" applyBorder="1" applyAlignment="1">
      <alignment horizontal="left"/>
    </xf>
    <xf numFmtId="42" fontId="11" fillId="35" borderId="11" xfId="44" applyNumberFormat="1" applyFont="1" applyFill="1" applyBorder="1" applyAlignment="1">
      <alignment horizontal="left"/>
    </xf>
    <xf numFmtId="0" fontId="52" fillId="40" borderId="0" xfId="0" applyFont="1" applyFill="1" applyAlignment="1">
      <alignment horizontal="left"/>
    </xf>
    <xf numFmtId="0" fontId="52" fillId="37" borderId="0" xfId="0" applyFont="1" applyFill="1" applyAlignment="1">
      <alignment horizontal="left"/>
    </xf>
    <xf numFmtId="0" fontId="52" fillId="36" borderId="0" xfId="0" applyFont="1" applyFill="1" applyAlignment="1">
      <alignment horizontal="left"/>
    </xf>
    <xf numFmtId="0" fontId="52" fillId="39" borderId="0" xfId="0" applyFont="1" applyFill="1" applyAlignment="1">
      <alignment horizontal="left"/>
    </xf>
    <xf numFmtId="0" fontId="52" fillId="38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33" sqref="A33:E33"/>
    </sheetView>
  </sheetViews>
  <sheetFormatPr defaultColWidth="9.140625" defaultRowHeight="12.75"/>
  <cols>
    <col min="1" max="1" width="32.421875" style="0" customWidth="1"/>
    <col min="2" max="2" width="24.8515625" style="0" customWidth="1"/>
    <col min="3" max="3" width="21.140625" style="0" customWidth="1"/>
    <col min="4" max="4" width="22.8515625" style="0" customWidth="1"/>
    <col min="5" max="5" width="21.00390625" style="0" customWidth="1"/>
  </cols>
  <sheetData>
    <row r="1" spans="1:5" ht="21.75" customHeight="1">
      <c r="A1" s="65" t="s">
        <v>0</v>
      </c>
      <c r="B1" s="65"/>
      <c r="C1" s="65"/>
      <c r="D1" s="65"/>
      <c r="E1" s="65"/>
    </row>
    <row r="2" spans="1:5" ht="21" customHeight="1">
      <c r="A2" s="65" t="s">
        <v>49</v>
      </c>
      <c r="B2" s="65"/>
      <c r="C2" s="65"/>
      <c r="D2" s="65"/>
      <c r="E2" s="65"/>
    </row>
    <row r="3" spans="1:5" ht="23.25" customHeight="1">
      <c r="A3" s="66" t="s">
        <v>50</v>
      </c>
      <c r="B3" s="67"/>
      <c r="C3" s="67"/>
      <c r="D3" s="67"/>
      <c r="E3" s="67"/>
    </row>
    <row r="4" spans="1:5" ht="12.75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</row>
    <row r="5" spans="1:5" ht="12.75">
      <c r="A5" s="8" t="s">
        <v>6</v>
      </c>
      <c r="B5" s="9">
        <v>355548411</v>
      </c>
      <c r="C5" s="9">
        <f>B5*C36/100</f>
        <v>2254888.022562</v>
      </c>
      <c r="D5" s="9">
        <f>B5*D36/100</f>
        <v>0</v>
      </c>
      <c r="E5" s="9">
        <f>B5*E36/100</f>
        <v>871449.155361</v>
      </c>
    </row>
    <row r="6" spans="1:5" ht="12.75">
      <c r="A6" s="8" t="s">
        <v>7</v>
      </c>
      <c r="B6" s="9">
        <v>15805450</v>
      </c>
      <c r="C6" s="9">
        <f>B6*C36/100</f>
        <v>100238.1639</v>
      </c>
      <c r="D6" s="9">
        <f>B6*D36/100</f>
        <v>0</v>
      </c>
      <c r="E6" s="9">
        <f>B6*E36/100</f>
        <v>38739.15795</v>
      </c>
    </row>
    <row r="7" spans="1:5" ht="12.75">
      <c r="A7" s="8" t="s">
        <v>8</v>
      </c>
      <c r="B7" s="10">
        <v>57198174</v>
      </c>
      <c r="C7" s="10">
        <f>B7*C36/100</f>
        <v>362750.81950800004</v>
      </c>
      <c r="D7" s="10">
        <f>B7*D36/100</f>
        <v>0</v>
      </c>
      <c r="E7" s="10">
        <f>B7*E36/100</f>
        <v>140192.724474</v>
      </c>
    </row>
    <row r="8" spans="1:5" ht="13.5">
      <c r="A8" s="11" t="s">
        <v>9</v>
      </c>
      <c r="B8" s="12">
        <f>SUM(B5:B7)</f>
        <v>428552035</v>
      </c>
      <c r="C8" s="12">
        <f>SUM(C5:C7)</f>
        <v>2717877.0059700003</v>
      </c>
      <c r="D8" s="12">
        <f>SUM(D5:D7)</f>
        <v>0</v>
      </c>
      <c r="E8" s="12">
        <f>SUM(E5:E7)</f>
        <v>1050381.037785</v>
      </c>
    </row>
    <row r="9" spans="1:5" ht="5.25" customHeight="1">
      <c r="A9" s="11"/>
      <c r="B9" s="9"/>
      <c r="C9" s="13"/>
      <c r="D9" s="13"/>
      <c r="E9" s="13"/>
    </row>
    <row r="10" spans="1:5" ht="12.75">
      <c r="A10" s="14" t="s">
        <v>10</v>
      </c>
      <c r="B10" s="9">
        <v>112376549</v>
      </c>
      <c r="C10" s="9">
        <f>B10*C36/100</f>
        <v>712692.073758</v>
      </c>
      <c r="D10" s="9">
        <f>B10*D36/100</f>
        <v>0</v>
      </c>
      <c r="E10" s="9">
        <f>B10*E36/100</f>
        <v>275434.921599</v>
      </c>
    </row>
    <row r="11" spans="1:5" ht="12.75">
      <c r="A11" s="14" t="s">
        <v>11</v>
      </c>
      <c r="B11" s="10">
        <v>18447546</v>
      </c>
      <c r="C11" s="10">
        <f>B11*C36/100</f>
        <v>116994.336732</v>
      </c>
      <c r="D11" s="10">
        <f>B11*D36/100</f>
        <v>0</v>
      </c>
      <c r="E11" s="10">
        <f>B11*E36/100</f>
        <v>45214.935246</v>
      </c>
    </row>
    <row r="12" spans="1:5" ht="13.5" thickBot="1">
      <c r="A12" s="53" t="s">
        <v>12</v>
      </c>
      <c r="B12" s="15">
        <f>SUM(B8:B11)</f>
        <v>559376130</v>
      </c>
      <c r="C12" s="15">
        <f>SUM(C8:C11)</f>
        <v>3547563.4164600004</v>
      </c>
      <c r="D12" s="15">
        <f>SUM(D8:D11)</f>
        <v>0</v>
      </c>
      <c r="E12" s="15">
        <f>SUM(E8:E11)</f>
        <v>1371030.89463</v>
      </c>
    </row>
    <row r="13" spans="1:5" ht="15" customHeight="1" hidden="1">
      <c r="A13" s="52" t="s">
        <v>13</v>
      </c>
      <c r="B13" s="17"/>
      <c r="C13" s="18">
        <v>459104545</v>
      </c>
      <c r="D13" s="19"/>
      <c r="E13" s="19"/>
    </row>
    <row r="14" spans="1:5" ht="15" customHeight="1" hidden="1">
      <c r="A14" s="20" t="s">
        <v>14</v>
      </c>
      <c r="B14" s="21"/>
      <c r="C14" s="22">
        <v>461995345</v>
      </c>
      <c r="D14" s="19"/>
      <c r="E14" s="19"/>
    </row>
    <row r="15" spans="1:5" ht="15" customHeight="1" hidden="1">
      <c r="A15" s="16" t="s">
        <v>15</v>
      </c>
      <c r="B15" s="17"/>
      <c r="C15" s="18">
        <v>479313870</v>
      </c>
      <c r="D15" s="19"/>
      <c r="E15" s="19"/>
    </row>
    <row r="16" spans="1:5" ht="15" customHeight="1" hidden="1">
      <c r="A16" s="68" t="s">
        <v>16</v>
      </c>
      <c r="B16" s="69"/>
      <c r="C16" s="51">
        <v>480708364</v>
      </c>
      <c r="D16" s="19"/>
      <c r="E16" s="19"/>
    </row>
    <row r="17" spans="1:5" ht="18" customHeight="1" hidden="1" thickTop="1">
      <c r="A17" s="52" t="s">
        <v>17</v>
      </c>
      <c r="B17" s="54"/>
      <c r="C17" s="56">
        <v>479731517</v>
      </c>
      <c r="D17" s="19"/>
      <c r="E17" s="19"/>
    </row>
    <row r="18" spans="1:5" ht="15" customHeight="1" hidden="1">
      <c r="A18" s="20" t="s">
        <v>16</v>
      </c>
      <c r="B18" s="21"/>
      <c r="C18" s="57">
        <v>496403263</v>
      </c>
      <c r="D18" s="19"/>
      <c r="E18" s="19"/>
    </row>
    <row r="19" spans="1:5" ht="15" customHeight="1" hidden="1" thickTop="1">
      <c r="A19" s="16" t="s">
        <v>18</v>
      </c>
      <c r="B19" s="55"/>
      <c r="C19" s="58">
        <v>506924578</v>
      </c>
      <c r="D19" s="19"/>
      <c r="E19" s="19"/>
    </row>
    <row r="20" spans="1:5" ht="15" customHeight="1" hidden="1">
      <c r="A20" s="20" t="s">
        <v>31</v>
      </c>
      <c r="B20" s="21"/>
      <c r="C20" s="57">
        <v>509247102</v>
      </c>
      <c r="D20" s="19"/>
      <c r="E20" s="19"/>
    </row>
    <row r="21" spans="1:5" ht="15" customHeight="1" thickTop="1">
      <c r="A21" s="16" t="s">
        <v>34</v>
      </c>
      <c r="B21" s="55"/>
      <c r="C21" s="58">
        <v>506571005</v>
      </c>
      <c r="D21" s="19"/>
      <c r="E21" s="19"/>
    </row>
    <row r="22" spans="1:5" ht="18.75">
      <c r="A22" s="72" t="s">
        <v>35</v>
      </c>
      <c r="B22" s="73"/>
      <c r="C22" s="23">
        <v>509646530</v>
      </c>
      <c r="D22" s="19"/>
      <c r="E22" s="19"/>
    </row>
    <row r="23" spans="1:5" ht="18.75">
      <c r="A23" s="70" t="s">
        <v>36</v>
      </c>
      <c r="B23" s="71"/>
      <c r="C23" s="59">
        <v>518476314</v>
      </c>
      <c r="D23" s="19"/>
      <c r="E23" s="19"/>
    </row>
    <row r="24" spans="1:5" ht="18" customHeight="1">
      <c r="A24" s="72" t="s">
        <v>37</v>
      </c>
      <c r="B24" s="73"/>
      <c r="C24" s="23">
        <v>522298867</v>
      </c>
      <c r="D24" s="19"/>
      <c r="E24" s="19"/>
    </row>
    <row r="25" spans="1:5" ht="17.25" customHeight="1">
      <c r="A25" s="70" t="s">
        <v>38</v>
      </c>
      <c r="B25" s="71"/>
      <c r="C25" s="59">
        <v>529444343</v>
      </c>
      <c r="D25" s="19"/>
      <c r="E25" s="19"/>
    </row>
    <row r="26" spans="1:5" ht="17.25" customHeight="1">
      <c r="A26" s="60" t="s">
        <v>43</v>
      </c>
      <c r="B26" s="60"/>
      <c r="C26" s="23">
        <v>533875351</v>
      </c>
      <c r="D26" s="19"/>
      <c r="E26" s="19"/>
    </row>
    <row r="27" spans="1:5" ht="17.25" customHeight="1">
      <c r="A27" s="61" t="s">
        <v>44</v>
      </c>
      <c r="B27" s="61"/>
      <c r="C27" s="59">
        <f>544773995</f>
        <v>544773995</v>
      </c>
      <c r="D27" s="19"/>
      <c r="E27" s="19"/>
    </row>
    <row r="28" spans="1:5" ht="17.25" customHeight="1">
      <c r="A28" s="60" t="s">
        <v>47</v>
      </c>
      <c r="B28" s="60"/>
      <c r="C28" s="23">
        <v>548822164</v>
      </c>
      <c r="D28" s="19"/>
      <c r="E28" s="19"/>
    </row>
    <row r="29" spans="1:5" ht="17.25" customHeight="1">
      <c r="A29" s="61" t="s">
        <v>48</v>
      </c>
      <c r="B29" s="61"/>
      <c r="C29" s="59">
        <v>547215547</v>
      </c>
      <c r="D29" s="19"/>
      <c r="E29" s="19"/>
    </row>
    <row r="30" spans="1:5" ht="17.25" customHeight="1">
      <c r="A30" s="60" t="s">
        <v>51</v>
      </c>
      <c r="B30" s="60"/>
      <c r="C30" s="23">
        <v>551602186</v>
      </c>
      <c r="D30" s="19"/>
      <c r="E30" s="19"/>
    </row>
    <row r="31" spans="1:5" ht="18" customHeight="1">
      <c r="A31" s="61" t="s">
        <v>52</v>
      </c>
      <c r="B31" s="61"/>
      <c r="C31" s="59">
        <v>559376130</v>
      </c>
      <c r="D31" s="19"/>
      <c r="E31" s="19"/>
    </row>
    <row r="32" spans="1:5" ht="17.25" customHeight="1">
      <c r="A32" s="60" t="s">
        <v>53</v>
      </c>
      <c r="B32" s="60"/>
      <c r="C32" s="23">
        <v>558147541</v>
      </c>
      <c r="D32" s="19"/>
      <c r="E32" s="19"/>
    </row>
    <row r="33" spans="1:5" ht="18.75" customHeight="1">
      <c r="A33" s="66" t="s">
        <v>19</v>
      </c>
      <c r="B33" s="66"/>
      <c r="C33" s="66"/>
      <c r="D33" s="66"/>
      <c r="E33" s="66"/>
    </row>
    <row r="34" spans="1:5" ht="15.75">
      <c r="A34" s="24"/>
      <c r="B34" s="25" t="s">
        <v>2</v>
      </c>
      <c r="C34" s="26" t="s">
        <v>3</v>
      </c>
      <c r="D34" s="26" t="s">
        <v>4</v>
      </c>
      <c r="E34" s="26" t="s">
        <v>5</v>
      </c>
    </row>
    <row r="35" spans="1:5" ht="15.75">
      <c r="A35" s="27" t="s">
        <v>20</v>
      </c>
      <c r="B35" s="28">
        <f>+B12</f>
        <v>559376130</v>
      </c>
      <c r="C35" s="28">
        <f>+C12</f>
        <v>3547563.4164600004</v>
      </c>
      <c r="D35" s="28">
        <f>+D12</f>
        <v>0</v>
      </c>
      <c r="E35" s="28">
        <f>+E12</f>
        <v>1371030.89463</v>
      </c>
    </row>
    <row r="36" spans="1:5" ht="14.25" customHeight="1">
      <c r="A36" s="29" t="s">
        <v>21</v>
      </c>
      <c r="B36" s="30">
        <f>SUM(C36:E36)</f>
        <v>0.8793</v>
      </c>
      <c r="C36" s="31">
        <v>0.6342</v>
      </c>
      <c r="D36" s="31">
        <v>0</v>
      </c>
      <c r="E36" s="31">
        <v>0.2451</v>
      </c>
    </row>
    <row r="37" spans="1:5" ht="30" customHeight="1">
      <c r="A37" s="32" t="s">
        <v>22</v>
      </c>
      <c r="B37" s="33">
        <v>0.045</v>
      </c>
      <c r="C37" s="34">
        <f>C35*0.045</f>
        <v>159640.35374070003</v>
      </c>
      <c r="D37" s="34">
        <f>D35*0.045</f>
        <v>0</v>
      </c>
      <c r="E37" s="34">
        <f>E35*0.045</f>
        <v>61696.390258349995</v>
      </c>
    </row>
    <row r="38" spans="1:5" ht="14.25" customHeight="1">
      <c r="A38" s="35"/>
      <c r="B38" s="36" t="s">
        <v>23</v>
      </c>
      <c r="C38" s="37">
        <f>+C35-C37</f>
        <v>3387923.0627193004</v>
      </c>
      <c r="D38" s="37">
        <f>+D35-D37</f>
        <v>0</v>
      </c>
      <c r="E38" s="37">
        <f>+E35-E37</f>
        <v>1309334.50437165</v>
      </c>
    </row>
    <row r="39" spans="1:5" ht="13.5" customHeight="1">
      <c r="A39" s="63" t="s">
        <v>24</v>
      </c>
      <c r="B39" s="63"/>
      <c r="C39" s="64">
        <v>10000</v>
      </c>
      <c r="D39" s="62">
        <v>0</v>
      </c>
      <c r="E39" s="39"/>
    </row>
    <row r="40" spans="1:5" ht="13.5" customHeight="1">
      <c r="A40" s="40" t="s">
        <v>25</v>
      </c>
      <c r="B40" s="40"/>
      <c r="C40" s="41">
        <v>24240</v>
      </c>
      <c r="D40" s="39" t="s">
        <v>26</v>
      </c>
      <c r="E40" s="39"/>
    </row>
    <row r="41" spans="1:5" ht="13.5" customHeight="1">
      <c r="A41" s="42" t="s">
        <v>27</v>
      </c>
      <c r="B41" s="42"/>
      <c r="C41" s="43">
        <v>500</v>
      </c>
      <c r="D41" s="38"/>
      <c r="E41" s="38"/>
    </row>
    <row r="42" spans="1:6" ht="13.5" customHeight="1">
      <c r="A42" s="44" t="s">
        <v>28</v>
      </c>
      <c r="B42" s="44"/>
      <c r="C42" s="45">
        <v>133080</v>
      </c>
      <c r="D42" s="39"/>
      <c r="E42" s="39"/>
      <c r="F42" s="1"/>
    </row>
    <row r="43" spans="1:5" ht="13.5" customHeight="1">
      <c r="A43" s="46" t="s">
        <v>29</v>
      </c>
      <c r="B43" s="46"/>
      <c r="C43" s="47">
        <v>2500</v>
      </c>
      <c r="D43" s="34"/>
      <c r="E43" s="34"/>
    </row>
    <row r="44" spans="1:5" ht="18" customHeight="1" thickBot="1">
      <c r="A44" s="48"/>
      <c r="B44" s="49" t="s">
        <v>30</v>
      </c>
      <c r="C44" s="50">
        <f>SUM(C38:C43)</f>
        <v>3558243.0627193004</v>
      </c>
      <c r="D44" s="50">
        <f>SUM(D38:D43)</f>
        <v>0</v>
      </c>
      <c r="E44" s="50">
        <f>SUM(E38:E43)</f>
        <v>1309334.50437165</v>
      </c>
    </row>
    <row r="45" ht="72.75" customHeight="1" thickTop="1"/>
    <row r="46" spans="1:5" ht="14.25" customHeight="1">
      <c r="A46" s="2" t="s">
        <v>45</v>
      </c>
      <c r="B46" s="2"/>
      <c r="C46" s="2"/>
      <c r="D46" s="2"/>
      <c r="E46" s="2"/>
    </row>
    <row r="47" spans="1:5" ht="15.75" customHeight="1">
      <c r="A47" s="76" t="s">
        <v>33</v>
      </c>
      <c r="B47" s="76"/>
      <c r="C47" s="76"/>
      <c r="D47" s="76"/>
      <c r="E47" s="76"/>
    </row>
    <row r="48" spans="1:5" ht="14.25" customHeight="1">
      <c r="A48" s="75" t="s">
        <v>40</v>
      </c>
      <c r="B48" s="75"/>
      <c r="C48" s="75"/>
      <c r="D48" s="75"/>
      <c r="E48" s="75"/>
    </row>
    <row r="49" spans="1:5" ht="17.25" customHeight="1">
      <c r="A49" s="74" t="s">
        <v>32</v>
      </c>
      <c r="B49" s="74"/>
      <c r="C49" s="74"/>
      <c r="D49" s="74"/>
      <c r="E49" s="74"/>
    </row>
    <row r="50" spans="1:5" ht="17.25" customHeight="1">
      <c r="A50" s="78" t="s">
        <v>39</v>
      </c>
      <c r="B50" s="78"/>
      <c r="C50" s="78"/>
      <c r="D50" s="78"/>
      <c r="E50" s="78"/>
    </row>
    <row r="51" spans="1:5" ht="15.75" customHeight="1">
      <c r="A51" s="77" t="s">
        <v>46</v>
      </c>
      <c r="B51" s="77"/>
      <c r="C51" s="77"/>
      <c r="D51" s="77"/>
      <c r="E51" s="77"/>
    </row>
  </sheetData>
  <sheetProtection/>
  <mergeCells count="14">
    <mergeCell ref="A49:E49"/>
    <mergeCell ref="A48:E48"/>
    <mergeCell ref="A47:E47"/>
    <mergeCell ref="A24:B24"/>
    <mergeCell ref="A25:B25"/>
    <mergeCell ref="A51:E51"/>
    <mergeCell ref="A50:E50"/>
    <mergeCell ref="A1:E1"/>
    <mergeCell ref="A2:E2"/>
    <mergeCell ref="A3:E3"/>
    <mergeCell ref="A33:E33"/>
    <mergeCell ref="A16:B16"/>
    <mergeCell ref="A23:B23"/>
    <mergeCell ref="A22:B22"/>
  </mergeCells>
  <printOptions/>
  <pageMargins left="0.77" right="0.75" top="0.19" bottom="0.17" header="0.17" footer="0.17"/>
  <pageSetup horizontalDpi="600" verticalDpi="600" orientation="landscape" r:id="rId2"/>
  <headerFooter alignWithMargins="0">
    <oddHeader>&amp;L&amp;G&amp;R&amp;G</oddHeader>
  </headerFooter>
  <customProperties>
    <customPr name="DVSECTIONID" r:id="rId3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DZ2" sqref="DZ2"/>
    </sheetView>
  </sheetViews>
  <sheetFormatPr defaultColWidth="9.140625" defaultRowHeight="12.75"/>
  <sheetData>
    <row r="1" spans="1:256" ht="12.75">
      <c r="A1" t="e">
        <f>IF('Projected Income'!1:1,"AAAAADuDdwA=",0)</f>
        <v>#VALUE!</v>
      </c>
      <c r="B1" t="e">
        <f>AND('Projected Income'!A1,"AAAAADuDdwE=")</f>
        <v>#VALUE!</v>
      </c>
      <c r="C1" t="e">
        <f>AND('Projected Income'!B1,"AAAAADuDdwI=")</f>
        <v>#VALUE!</v>
      </c>
      <c r="D1" t="e">
        <f>AND('Projected Income'!C1,"AAAAADuDdwM=")</f>
        <v>#VALUE!</v>
      </c>
      <c r="E1" t="e">
        <f>AND('Projected Income'!D1,"AAAAADuDdwQ=")</f>
        <v>#VALUE!</v>
      </c>
      <c r="F1" t="e">
        <f>AND('Projected Income'!E1,"AAAAADuDdwU=")</f>
        <v>#VALUE!</v>
      </c>
      <c r="G1" t="e">
        <f>AND('Projected Income'!F1,"AAAAADuDdwY=")</f>
        <v>#VALUE!</v>
      </c>
      <c r="H1">
        <f>IF('Projected Income'!2:2,"AAAAADuDdwc=",0)</f>
        <v>0</v>
      </c>
      <c r="I1" t="e">
        <f>AND('Projected Income'!A2,"AAAAADuDdwg=")</f>
        <v>#VALUE!</v>
      </c>
      <c r="J1" t="e">
        <f>AND('Projected Income'!B2,"AAAAADuDdwk=")</f>
        <v>#VALUE!</v>
      </c>
      <c r="K1" t="e">
        <f>AND('Projected Income'!C2,"AAAAADuDdwo=")</f>
        <v>#VALUE!</v>
      </c>
      <c r="L1" t="e">
        <f>AND('Projected Income'!D2,"AAAAADuDdws=")</f>
        <v>#VALUE!</v>
      </c>
      <c r="M1" t="e">
        <f>AND('Projected Income'!E2,"AAAAADuDdww=")</f>
        <v>#VALUE!</v>
      </c>
      <c r="N1" t="e">
        <f>AND('Projected Income'!F2,"AAAAADuDdw0=")</f>
        <v>#VALUE!</v>
      </c>
      <c r="O1">
        <f>IF('Projected Income'!3:3,"AAAAADuDdw4=",0)</f>
        <v>0</v>
      </c>
      <c r="P1" t="e">
        <f>AND('Projected Income'!A3,"AAAAADuDdw8=")</f>
        <v>#VALUE!</v>
      </c>
      <c r="Q1" t="e">
        <f>AND('Projected Income'!B3,"AAAAADuDdxA=")</f>
        <v>#VALUE!</v>
      </c>
      <c r="R1" t="e">
        <f>AND('Projected Income'!C3,"AAAAADuDdxE=")</f>
        <v>#VALUE!</v>
      </c>
      <c r="S1" t="e">
        <f>AND('Projected Income'!D3,"AAAAADuDdxI=")</f>
        <v>#VALUE!</v>
      </c>
      <c r="T1" t="e">
        <f>AND('Projected Income'!E3,"AAAAADuDdxM=")</f>
        <v>#VALUE!</v>
      </c>
      <c r="U1" t="e">
        <f>AND('Projected Income'!F3,"AAAAADuDdxQ=")</f>
        <v>#VALUE!</v>
      </c>
      <c r="V1">
        <f>IF('Projected Income'!4:4,"AAAAADuDdxU=",0)</f>
        <v>0</v>
      </c>
      <c r="W1" t="e">
        <f>AND('Projected Income'!A4,"AAAAADuDdxY=")</f>
        <v>#VALUE!</v>
      </c>
      <c r="X1" t="e">
        <f>AND('Projected Income'!B4,"AAAAADuDdxc=")</f>
        <v>#VALUE!</v>
      </c>
      <c r="Y1" t="e">
        <f>AND('Projected Income'!C4,"AAAAADuDdxg=")</f>
        <v>#VALUE!</v>
      </c>
      <c r="Z1" t="e">
        <f>AND('Projected Income'!D4,"AAAAADuDdxk=")</f>
        <v>#VALUE!</v>
      </c>
      <c r="AA1" t="e">
        <f>AND('Projected Income'!E4,"AAAAADuDdxo=")</f>
        <v>#VALUE!</v>
      </c>
      <c r="AB1" t="e">
        <f>AND('Projected Income'!F4,"AAAAADuDdxs=")</f>
        <v>#VALUE!</v>
      </c>
      <c r="AC1">
        <f>IF('Projected Income'!5:5,"AAAAADuDdxw=",0)</f>
        <v>0</v>
      </c>
      <c r="AD1" t="e">
        <f>AND('Projected Income'!A5,"AAAAADuDdx0=")</f>
        <v>#VALUE!</v>
      </c>
      <c r="AE1" t="e">
        <f>AND('Projected Income'!B5,"AAAAADuDdx4=")</f>
        <v>#VALUE!</v>
      </c>
      <c r="AF1" t="e">
        <f>AND('Projected Income'!C5,"AAAAADuDdx8=")</f>
        <v>#VALUE!</v>
      </c>
      <c r="AG1" t="e">
        <f>AND('Projected Income'!D5,"AAAAADuDdyA=")</f>
        <v>#VALUE!</v>
      </c>
      <c r="AH1" t="e">
        <f>AND('Projected Income'!E5,"AAAAADuDdyE=")</f>
        <v>#VALUE!</v>
      </c>
      <c r="AI1" t="e">
        <f>AND('Projected Income'!F5,"AAAAADuDdyI=")</f>
        <v>#VALUE!</v>
      </c>
      <c r="AJ1">
        <f>IF('Projected Income'!6:6,"AAAAADuDdyM=",0)</f>
        <v>0</v>
      </c>
      <c r="AK1" t="e">
        <f>AND('Projected Income'!A6,"AAAAADuDdyQ=")</f>
        <v>#VALUE!</v>
      </c>
      <c r="AL1" t="e">
        <f>AND('Projected Income'!B6,"AAAAADuDdyU=")</f>
        <v>#VALUE!</v>
      </c>
      <c r="AM1" t="e">
        <f>AND('Projected Income'!C6,"AAAAADuDdyY=")</f>
        <v>#VALUE!</v>
      </c>
      <c r="AN1" t="e">
        <f>AND('Projected Income'!D6,"AAAAADuDdyc=")</f>
        <v>#VALUE!</v>
      </c>
      <c r="AO1" t="e">
        <f>AND('Projected Income'!E6,"AAAAADuDdyg=")</f>
        <v>#VALUE!</v>
      </c>
      <c r="AP1" t="e">
        <f>AND('Projected Income'!F6,"AAAAADuDdyk=")</f>
        <v>#VALUE!</v>
      </c>
      <c r="AQ1">
        <f>IF('Projected Income'!7:7,"AAAAADuDdyo=",0)</f>
        <v>0</v>
      </c>
      <c r="AR1" t="e">
        <f>AND('Projected Income'!A7,"AAAAADuDdys=")</f>
        <v>#VALUE!</v>
      </c>
      <c r="AS1" t="e">
        <f>AND('Projected Income'!B7,"AAAAADuDdyw=")</f>
        <v>#VALUE!</v>
      </c>
      <c r="AT1" t="e">
        <f>AND('Projected Income'!C7,"AAAAADuDdy0=")</f>
        <v>#VALUE!</v>
      </c>
      <c r="AU1" t="e">
        <f>AND('Projected Income'!D7,"AAAAADuDdy4=")</f>
        <v>#VALUE!</v>
      </c>
      <c r="AV1" t="e">
        <f>AND('Projected Income'!E7,"AAAAADuDdy8=")</f>
        <v>#VALUE!</v>
      </c>
      <c r="AW1" t="e">
        <f>AND('Projected Income'!F7,"AAAAADuDdzA=")</f>
        <v>#VALUE!</v>
      </c>
      <c r="AX1">
        <f>IF('Projected Income'!8:8,"AAAAADuDdzE=",0)</f>
        <v>0</v>
      </c>
      <c r="AY1" t="e">
        <f>AND('Projected Income'!A8,"AAAAADuDdzI=")</f>
        <v>#VALUE!</v>
      </c>
      <c r="AZ1" t="e">
        <f>AND('Projected Income'!B8,"AAAAADuDdzM=")</f>
        <v>#VALUE!</v>
      </c>
      <c r="BA1" t="e">
        <f>AND('Projected Income'!C8,"AAAAADuDdzQ=")</f>
        <v>#VALUE!</v>
      </c>
      <c r="BB1" t="e">
        <f>AND('Projected Income'!D8,"AAAAADuDdzU=")</f>
        <v>#VALUE!</v>
      </c>
      <c r="BC1" t="e">
        <f>AND('Projected Income'!E8,"AAAAADuDdzY=")</f>
        <v>#VALUE!</v>
      </c>
      <c r="BD1" t="e">
        <f>AND('Projected Income'!F8,"AAAAADuDdzc=")</f>
        <v>#VALUE!</v>
      </c>
      <c r="BE1">
        <f>IF('Projected Income'!9:9,"AAAAADuDdzg=",0)</f>
        <v>0</v>
      </c>
      <c r="BF1" t="e">
        <f>AND('Projected Income'!A9,"AAAAADuDdzk=")</f>
        <v>#VALUE!</v>
      </c>
      <c r="BG1" t="e">
        <f>AND('Projected Income'!B9,"AAAAADuDdzo=")</f>
        <v>#VALUE!</v>
      </c>
      <c r="BH1" t="e">
        <f>AND('Projected Income'!C9,"AAAAADuDdzs=")</f>
        <v>#VALUE!</v>
      </c>
      <c r="BI1" t="e">
        <f>AND('Projected Income'!D9,"AAAAADuDdzw=")</f>
        <v>#VALUE!</v>
      </c>
      <c r="BJ1" t="e">
        <f>AND('Projected Income'!E9,"AAAAADuDdz0=")</f>
        <v>#VALUE!</v>
      </c>
      <c r="BK1" t="e">
        <f>AND('Projected Income'!F9,"AAAAADuDdz4=")</f>
        <v>#VALUE!</v>
      </c>
      <c r="BL1">
        <f>IF('Projected Income'!10:10,"AAAAADuDdz8=",0)</f>
        <v>0</v>
      </c>
      <c r="BM1" t="e">
        <f>AND('Projected Income'!A10,"AAAAADuDd0A=")</f>
        <v>#VALUE!</v>
      </c>
      <c r="BN1" t="e">
        <f>AND('Projected Income'!B10,"AAAAADuDd0E=")</f>
        <v>#VALUE!</v>
      </c>
      <c r="BO1" t="e">
        <f>AND('Projected Income'!C10,"AAAAADuDd0I=")</f>
        <v>#VALUE!</v>
      </c>
      <c r="BP1" t="e">
        <f>AND('Projected Income'!D10,"AAAAADuDd0M=")</f>
        <v>#VALUE!</v>
      </c>
      <c r="BQ1" t="e">
        <f>AND('Projected Income'!E10,"AAAAADuDd0Q=")</f>
        <v>#VALUE!</v>
      </c>
      <c r="BR1" t="e">
        <f>AND('Projected Income'!F10,"AAAAADuDd0U=")</f>
        <v>#VALUE!</v>
      </c>
      <c r="BS1">
        <f>IF('Projected Income'!11:11,"AAAAADuDd0Y=",0)</f>
        <v>0</v>
      </c>
      <c r="BT1" t="e">
        <f>AND('Projected Income'!A11,"AAAAADuDd0c=")</f>
        <v>#VALUE!</v>
      </c>
      <c r="BU1" t="e">
        <f>AND('Projected Income'!B11,"AAAAADuDd0g=")</f>
        <v>#VALUE!</v>
      </c>
      <c r="BV1" t="e">
        <f>AND('Projected Income'!C11,"AAAAADuDd0k=")</f>
        <v>#VALUE!</v>
      </c>
      <c r="BW1" t="e">
        <f>AND('Projected Income'!D11,"AAAAADuDd0o=")</f>
        <v>#VALUE!</v>
      </c>
      <c r="BX1" t="e">
        <f>AND('Projected Income'!E11,"AAAAADuDd0s=")</f>
        <v>#VALUE!</v>
      </c>
      <c r="BY1" t="e">
        <f>AND('Projected Income'!F11,"AAAAADuDd0w=")</f>
        <v>#VALUE!</v>
      </c>
      <c r="BZ1">
        <f>IF('Projected Income'!12:12,"AAAAADuDd00=",0)</f>
        <v>0</v>
      </c>
      <c r="CA1" t="e">
        <f>AND('Projected Income'!A12,"AAAAADuDd04=")</f>
        <v>#VALUE!</v>
      </c>
      <c r="CB1" t="e">
        <f>AND('Projected Income'!B12,"AAAAADuDd08=")</f>
        <v>#VALUE!</v>
      </c>
      <c r="CC1" t="e">
        <f>AND('Projected Income'!C12,"AAAAADuDd1A=")</f>
        <v>#VALUE!</v>
      </c>
      <c r="CD1" t="e">
        <f>AND('Projected Income'!D12,"AAAAADuDd1E=")</f>
        <v>#VALUE!</v>
      </c>
      <c r="CE1" t="e">
        <f>AND('Projected Income'!E12,"AAAAADuDd1I=")</f>
        <v>#VALUE!</v>
      </c>
      <c r="CF1" t="e">
        <f>AND('Projected Income'!F12,"AAAAADuDd1M=")</f>
        <v>#VALUE!</v>
      </c>
      <c r="CG1" t="e">
        <f>IF('Projected Income'!#REF!,"AAAAADuDd1Q=",0)</f>
        <v>#REF!</v>
      </c>
      <c r="CH1" t="e">
        <f>AND('Projected Income'!#REF!,"AAAAADuDd1U=")</f>
        <v>#REF!</v>
      </c>
      <c r="CI1" t="e">
        <f>AND('Projected Income'!#REF!,"AAAAADuDd1Y=")</f>
        <v>#REF!</v>
      </c>
      <c r="CJ1" t="e">
        <f>AND('Projected Income'!#REF!,"AAAAADuDd1c=")</f>
        <v>#REF!</v>
      </c>
      <c r="CK1" t="e">
        <f>AND('Projected Income'!#REF!,"AAAAADuDd1g=")</f>
        <v>#REF!</v>
      </c>
      <c r="CL1" t="e">
        <f>AND('Projected Income'!#REF!,"AAAAADuDd1k=")</f>
        <v>#REF!</v>
      </c>
      <c r="CM1" t="e">
        <f>AND('Projected Income'!#REF!,"AAAAADuDd1o=")</f>
        <v>#REF!</v>
      </c>
      <c r="CN1" t="e">
        <f>IF('Projected Income'!#REF!,"AAAAADuDd1s=",0)</f>
        <v>#REF!</v>
      </c>
      <c r="CO1" t="e">
        <f>AND('Projected Income'!#REF!,"AAAAADuDd1w=")</f>
        <v>#REF!</v>
      </c>
      <c r="CP1" t="e">
        <f>AND('Projected Income'!#REF!,"AAAAADuDd10=")</f>
        <v>#REF!</v>
      </c>
      <c r="CQ1" t="e">
        <f>AND('Projected Income'!#REF!,"AAAAADuDd14=")</f>
        <v>#REF!</v>
      </c>
      <c r="CR1" t="e">
        <f>AND('Projected Income'!#REF!,"AAAAADuDd18=")</f>
        <v>#REF!</v>
      </c>
      <c r="CS1" t="e">
        <f>AND('Projected Income'!#REF!,"AAAAADuDd2A=")</f>
        <v>#REF!</v>
      </c>
      <c r="CT1" t="e">
        <f>AND('Projected Income'!#REF!,"AAAAADuDd2E=")</f>
        <v>#REF!</v>
      </c>
      <c r="CU1">
        <f>IF('Projected Income'!13:13,"AAAAADuDd2I=",0)</f>
        <v>0</v>
      </c>
      <c r="CV1" t="e">
        <f>AND('Projected Income'!A13,"AAAAADuDd2M=")</f>
        <v>#VALUE!</v>
      </c>
      <c r="CW1" t="e">
        <f>AND('Projected Income'!B13,"AAAAADuDd2Q=")</f>
        <v>#VALUE!</v>
      </c>
      <c r="CX1" t="e">
        <f>AND('Projected Income'!C13,"AAAAADuDd2U=")</f>
        <v>#VALUE!</v>
      </c>
      <c r="CY1" t="e">
        <f>AND('Projected Income'!D13,"AAAAADuDd2Y=")</f>
        <v>#VALUE!</v>
      </c>
      <c r="CZ1" t="e">
        <f>AND('Projected Income'!E13,"AAAAADuDd2c=")</f>
        <v>#VALUE!</v>
      </c>
      <c r="DA1" t="e">
        <f>AND('Projected Income'!F13,"AAAAADuDd2g=")</f>
        <v>#VALUE!</v>
      </c>
      <c r="DB1">
        <f>IF('Projected Income'!14:14,"AAAAADuDd2k=",0)</f>
        <v>0</v>
      </c>
      <c r="DC1" t="e">
        <f>AND('Projected Income'!A14,"AAAAADuDd2o=")</f>
        <v>#VALUE!</v>
      </c>
      <c r="DD1" t="e">
        <f>AND('Projected Income'!B14,"AAAAADuDd2s=")</f>
        <v>#VALUE!</v>
      </c>
      <c r="DE1" t="e">
        <f>AND('Projected Income'!C14,"AAAAADuDd2w=")</f>
        <v>#VALUE!</v>
      </c>
      <c r="DF1" t="e">
        <f>AND('Projected Income'!D14,"AAAAADuDd20=")</f>
        <v>#VALUE!</v>
      </c>
      <c r="DG1" t="e">
        <f>AND('Projected Income'!E14,"AAAAADuDd24=")</f>
        <v>#VALUE!</v>
      </c>
      <c r="DH1" t="e">
        <f>AND('Projected Income'!F14,"AAAAADuDd28=")</f>
        <v>#VALUE!</v>
      </c>
      <c r="DI1">
        <f>IF('Projected Income'!15:15,"AAAAADuDd3A=",0)</f>
        <v>0</v>
      </c>
      <c r="DJ1" t="e">
        <f>AND('Projected Income'!A15,"AAAAADuDd3E=")</f>
        <v>#VALUE!</v>
      </c>
      <c r="DK1" t="e">
        <f>AND('Projected Income'!B15,"AAAAADuDd3I=")</f>
        <v>#VALUE!</v>
      </c>
      <c r="DL1" t="e">
        <f>AND('Projected Income'!C15,"AAAAADuDd3M=")</f>
        <v>#VALUE!</v>
      </c>
      <c r="DM1" t="e">
        <f>AND('Projected Income'!D15,"AAAAADuDd3Q=")</f>
        <v>#VALUE!</v>
      </c>
      <c r="DN1" t="e">
        <f>AND('Projected Income'!E15,"AAAAADuDd3U=")</f>
        <v>#VALUE!</v>
      </c>
      <c r="DO1" t="e">
        <f>AND('Projected Income'!F15,"AAAAADuDd3Y=")</f>
        <v>#VALUE!</v>
      </c>
      <c r="DP1">
        <f>IF('Projected Income'!16:16,"AAAAADuDd3c=",0)</f>
        <v>0</v>
      </c>
      <c r="DQ1" t="e">
        <f>AND('Projected Income'!A16,"AAAAADuDd3g=")</f>
        <v>#VALUE!</v>
      </c>
      <c r="DR1" t="e">
        <f>AND('Projected Income'!B16,"AAAAADuDd3k=")</f>
        <v>#VALUE!</v>
      </c>
      <c r="DS1" t="e">
        <f>AND('Projected Income'!C16,"AAAAADuDd3o=")</f>
        <v>#VALUE!</v>
      </c>
      <c r="DT1" t="e">
        <f>AND('Projected Income'!D16,"AAAAADuDd3s=")</f>
        <v>#VALUE!</v>
      </c>
      <c r="DU1" t="e">
        <f>AND('Projected Income'!E16,"AAAAADuDd3w=")</f>
        <v>#VALUE!</v>
      </c>
      <c r="DV1" t="e">
        <f>AND('Projected Income'!F16,"AAAAADuDd30=")</f>
        <v>#VALUE!</v>
      </c>
      <c r="DW1">
        <f>IF('Projected Income'!17:17,"AAAAADuDd34=",0)</f>
        <v>0</v>
      </c>
      <c r="DX1" t="e">
        <f>AND('Projected Income'!A17,"AAAAADuDd38=")</f>
        <v>#VALUE!</v>
      </c>
      <c r="DY1" t="e">
        <f>AND('Projected Income'!B17,"AAAAADuDd4A=")</f>
        <v>#VALUE!</v>
      </c>
      <c r="DZ1" t="e">
        <f>AND('Projected Income'!C17,"AAAAADuDd4E=")</f>
        <v>#VALUE!</v>
      </c>
      <c r="EA1" t="e">
        <f>AND('Projected Income'!D17,"AAAAADuDd4I=")</f>
        <v>#VALUE!</v>
      </c>
      <c r="EB1" t="e">
        <f>AND('Projected Income'!E17,"AAAAADuDd4M=")</f>
        <v>#VALUE!</v>
      </c>
      <c r="EC1" t="e">
        <f>AND('Projected Income'!F17,"AAAAADuDd4Q=")</f>
        <v>#VALUE!</v>
      </c>
      <c r="ED1">
        <f>IF('Projected Income'!18:18,"AAAAADuDd4U=",0)</f>
        <v>0</v>
      </c>
      <c r="EE1" t="e">
        <f>AND('Projected Income'!A18,"AAAAADuDd4Y=")</f>
        <v>#VALUE!</v>
      </c>
      <c r="EF1" t="e">
        <f>AND('Projected Income'!B18,"AAAAADuDd4c=")</f>
        <v>#VALUE!</v>
      </c>
      <c r="EG1" t="e">
        <f>AND('Projected Income'!C18,"AAAAADuDd4g=")</f>
        <v>#VALUE!</v>
      </c>
      <c r="EH1" t="e">
        <f>AND('Projected Income'!D18,"AAAAADuDd4k=")</f>
        <v>#VALUE!</v>
      </c>
      <c r="EI1" t="e">
        <f>AND('Projected Income'!E18,"AAAAADuDd4o=")</f>
        <v>#VALUE!</v>
      </c>
      <c r="EJ1" t="e">
        <f>AND('Projected Income'!F18,"AAAAADuDd4s=")</f>
        <v>#VALUE!</v>
      </c>
      <c r="EK1">
        <f>IF('Projected Income'!19:19,"AAAAADuDd4w=",0)</f>
        <v>0</v>
      </c>
      <c r="EL1" t="e">
        <f>AND('Projected Income'!A19,"AAAAADuDd40=")</f>
        <v>#VALUE!</v>
      </c>
      <c r="EM1" t="e">
        <f>AND('Projected Income'!B19,"AAAAADuDd44=")</f>
        <v>#VALUE!</v>
      </c>
      <c r="EN1" t="e">
        <f>AND('Projected Income'!C19,"AAAAADuDd48=")</f>
        <v>#VALUE!</v>
      </c>
      <c r="EO1" t="e">
        <f>AND('Projected Income'!D19,"AAAAADuDd5A=")</f>
        <v>#VALUE!</v>
      </c>
      <c r="EP1" t="e">
        <f>AND('Projected Income'!E19,"AAAAADuDd5E=")</f>
        <v>#VALUE!</v>
      </c>
      <c r="EQ1" t="e">
        <f>AND('Projected Income'!F19,"AAAAADuDd5I=")</f>
        <v>#VALUE!</v>
      </c>
      <c r="ER1">
        <f>IF('Projected Income'!20:20,"AAAAADuDd5M=",0)</f>
        <v>0</v>
      </c>
      <c r="ES1" t="e">
        <f>AND('Projected Income'!A20,"AAAAADuDd5Q=")</f>
        <v>#VALUE!</v>
      </c>
      <c r="ET1" t="e">
        <f>AND('Projected Income'!B20,"AAAAADuDd5U=")</f>
        <v>#VALUE!</v>
      </c>
      <c r="EU1" t="e">
        <f>AND('Projected Income'!C20,"AAAAADuDd5Y=")</f>
        <v>#VALUE!</v>
      </c>
      <c r="EV1" t="e">
        <f>AND('Projected Income'!D20,"AAAAADuDd5c=")</f>
        <v>#VALUE!</v>
      </c>
      <c r="EW1" t="e">
        <f>AND('Projected Income'!E20,"AAAAADuDd5g=")</f>
        <v>#VALUE!</v>
      </c>
      <c r="EX1" t="e">
        <f>AND('Projected Income'!F20,"AAAAADuDd5k=")</f>
        <v>#VALUE!</v>
      </c>
      <c r="EY1" t="e">
        <f>IF('Projected Income'!#REF!,"AAAAADuDd5o=",0)</f>
        <v>#REF!</v>
      </c>
      <c r="EZ1" t="e">
        <f>AND('Projected Income'!#REF!,"AAAAADuDd5s=")</f>
        <v>#REF!</v>
      </c>
      <c r="FA1" t="e">
        <f>AND('Projected Income'!#REF!,"AAAAADuDd5w=")</f>
        <v>#REF!</v>
      </c>
      <c r="FB1" t="e">
        <f>AND('Projected Income'!#REF!,"AAAAADuDd50=")</f>
        <v>#REF!</v>
      </c>
      <c r="FC1" t="e">
        <f>AND('Projected Income'!#REF!,"AAAAADuDd54=")</f>
        <v>#REF!</v>
      </c>
      <c r="FD1" t="e">
        <f>AND('Projected Income'!#REF!,"AAAAADuDd58=")</f>
        <v>#REF!</v>
      </c>
      <c r="FE1" t="e">
        <f>AND('Projected Income'!#REF!,"AAAAADuDd6A=")</f>
        <v>#REF!</v>
      </c>
      <c r="FF1" t="e">
        <f>IF('Projected Income'!#REF!,"AAAAADuDd6E=",0)</f>
        <v>#REF!</v>
      </c>
      <c r="FG1" t="e">
        <f>AND('Projected Income'!#REF!,"AAAAADuDd6I=")</f>
        <v>#REF!</v>
      </c>
      <c r="FH1" t="e">
        <f>AND('Projected Income'!#REF!,"AAAAADuDd6M=")</f>
        <v>#REF!</v>
      </c>
      <c r="FI1" t="e">
        <f>AND('Projected Income'!#REF!,"AAAAADuDd6Q=")</f>
        <v>#REF!</v>
      </c>
      <c r="FJ1" t="e">
        <f>AND('Projected Income'!#REF!,"AAAAADuDd6U=")</f>
        <v>#REF!</v>
      </c>
      <c r="FK1" t="e">
        <f>AND('Projected Income'!#REF!,"AAAAADuDd6Y=")</f>
        <v>#REF!</v>
      </c>
      <c r="FL1" t="e">
        <f>AND('Projected Income'!#REF!,"AAAAADuDd6c=")</f>
        <v>#REF!</v>
      </c>
      <c r="FM1">
        <f>IF('Projected Income'!21:21,"AAAAADuDd6g=",0)</f>
        <v>0</v>
      </c>
      <c r="FN1" t="e">
        <f>AND('Projected Income'!A21,"AAAAADuDd6k=")</f>
        <v>#VALUE!</v>
      </c>
      <c r="FO1" t="e">
        <f>AND('Projected Income'!B21,"AAAAADuDd6o=")</f>
        <v>#VALUE!</v>
      </c>
      <c r="FP1" t="e">
        <f>AND('Projected Income'!C21,"AAAAADuDd6s=")</f>
        <v>#VALUE!</v>
      </c>
      <c r="FQ1" t="e">
        <f>AND('Projected Income'!D21,"AAAAADuDd6w=")</f>
        <v>#VALUE!</v>
      </c>
      <c r="FR1" t="e">
        <f>AND('Projected Income'!E21,"AAAAADuDd60=")</f>
        <v>#VALUE!</v>
      </c>
      <c r="FS1" t="e">
        <f>AND('Projected Income'!F21,"AAAAADuDd64=")</f>
        <v>#VALUE!</v>
      </c>
      <c r="FT1">
        <f>IF('Projected Income'!22:22,"AAAAADuDd68=",0)</f>
        <v>0</v>
      </c>
      <c r="FU1" t="e">
        <f>AND('Projected Income'!A22,"AAAAADuDd7A=")</f>
        <v>#VALUE!</v>
      </c>
      <c r="FV1" t="e">
        <f>AND('Projected Income'!B22,"AAAAADuDd7E=")</f>
        <v>#VALUE!</v>
      </c>
      <c r="FW1" t="e">
        <f>AND('Projected Income'!C22,"AAAAADuDd7I=")</f>
        <v>#VALUE!</v>
      </c>
      <c r="FX1" t="e">
        <f>AND('Projected Income'!D22,"AAAAADuDd7M=")</f>
        <v>#VALUE!</v>
      </c>
      <c r="FY1" t="e">
        <f>AND('Projected Income'!E22,"AAAAADuDd7Q=")</f>
        <v>#VALUE!</v>
      </c>
      <c r="FZ1" t="e">
        <f>AND('Projected Income'!F22,"AAAAADuDd7U=")</f>
        <v>#VALUE!</v>
      </c>
      <c r="GA1">
        <f>IF('Projected Income'!23:23,"AAAAADuDd7Y=",0)</f>
        <v>0</v>
      </c>
      <c r="GB1" t="e">
        <f>AND('Projected Income'!A23,"AAAAADuDd7c=")</f>
        <v>#VALUE!</v>
      </c>
      <c r="GC1" t="e">
        <f>AND('Projected Income'!B23,"AAAAADuDd7g=")</f>
        <v>#VALUE!</v>
      </c>
      <c r="GD1" t="e">
        <f>AND('Projected Income'!C23,"AAAAADuDd7k=")</f>
        <v>#VALUE!</v>
      </c>
      <c r="GE1" t="e">
        <f>AND('Projected Income'!D23,"AAAAADuDd7o=")</f>
        <v>#VALUE!</v>
      </c>
      <c r="GF1" t="e">
        <f>AND('Projected Income'!E23,"AAAAADuDd7s=")</f>
        <v>#VALUE!</v>
      </c>
      <c r="GG1" t="e">
        <f>AND('Projected Income'!F23,"AAAAADuDd7w=")</f>
        <v>#VALUE!</v>
      </c>
      <c r="GH1">
        <f>IF('Projected Income'!24:24,"AAAAADuDd70=",0)</f>
        <v>0</v>
      </c>
      <c r="GI1" t="e">
        <f>AND('Projected Income'!A24,"AAAAADuDd74=")</f>
        <v>#VALUE!</v>
      </c>
      <c r="GJ1" t="e">
        <f>AND('Projected Income'!B24,"AAAAADuDd78=")</f>
        <v>#VALUE!</v>
      </c>
      <c r="GK1" t="e">
        <f>AND('Projected Income'!C24,"AAAAADuDd8A=")</f>
        <v>#VALUE!</v>
      </c>
      <c r="GL1" t="e">
        <f>AND('Projected Income'!D24,"AAAAADuDd8E=")</f>
        <v>#VALUE!</v>
      </c>
      <c r="GM1" t="e">
        <f>AND('Projected Income'!E24,"AAAAADuDd8I=")</f>
        <v>#VALUE!</v>
      </c>
      <c r="GN1" t="e">
        <f>AND('Projected Income'!F24,"AAAAADuDd8M=")</f>
        <v>#VALUE!</v>
      </c>
      <c r="GO1">
        <f>IF('Projected Income'!25:25,"AAAAADuDd8Q=",0)</f>
        <v>0</v>
      </c>
      <c r="GP1" t="e">
        <f>AND('Projected Income'!A25,"AAAAADuDd8U=")</f>
        <v>#VALUE!</v>
      </c>
      <c r="GQ1" t="e">
        <f>AND('Projected Income'!B25,"AAAAADuDd8Y=")</f>
        <v>#VALUE!</v>
      </c>
      <c r="GR1" t="e">
        <f>AND('Projected Income'!C25,"AAAAADuDd8c=")</f>
        <v>#VALUE!</v>
      </c>
      <c r="GS1" t="e">
        <f>AND('Projected Income'!D25,"AAAAADuDd8g=")</f>
        <v>#VALUE!</v>
      </c>
      <c r="GT1" t="e">
        <f>AND('Projected Income'!E25,"AAAAADuDd8k=")</f>
        <v>#VALUE!</v>
      </c>
      <c r="GU1" t="e">
        <f>AND('Projected Income'!F25,"AAAAADuDd8o=")</f>
        <v>#VALUE!</v>
      </c>
      <c r="GV1">
        <f>IF('Projected Income'!33:33,"AAAAADuDd8s=",0)</f>
        <v>0</v>
      </c>
      <c r="GW1" t="e">
        <f>AND('Projected Income'!A33,"AAAAADuDd8w=")</f>
        <v>#VALUE!</v>
      </c>
      <c r="GX1" t="e">
        <f>AND('Projected Income'!B33,"AAAAADuDd80=")</f>
        <v>#VALUE!</v>
      </c>
      <c r="GY1" t="e">
        <f>AND('Projected Income'!C33,"AAAAADuDd84=")</f>
        <v>#VALUE!</v>
      </c>
      <c r="GZ1" t="e">
        <f>AND('Projected Income'!D33,"AAAAADuDd88=")</f>
        <v>#VALUE!</v>
      </c>
      <c r="HA1" t="e">
        <f>AND('Projected Income'!E33,"AAAAADuDd9A=")</f>
        <v>#VALUE!</v>
      </c>
      <c r="HB1" t="e">
        <f>AND('Projected Income'!F33,"AAAAADuDd9E=")</f>
        <v>#VALUE!</v>
      </c>
      <c r="HC1">
        <f>IF('Projected Income'!34:34,"AAAAADuDd9I=",0)</f>
        <v>0</v>
      </c>
      <c r="HD1" t="e">
        <f>AND('Projected Income'!A34,"AAAAADuDd9M=")</f>
        <v>#VALUE!</v>
      </c>
      <c r="HE1" t="e">
        <f>AND('Projected Income'!B34,"AAAAADuDd9Q=")</f>
        <v>#VALUE!</v>
      </c>
      <c r="HF1" t="e">
        <f>AND('Projected Income'!C34,"AAAAADuDd9U=")</f>
        <v>#VALUE!</v>
      </c>
      <c r="HG1" t="e">
        <f>AND('Projected Income'!D34,"AAAAADuDd9Y=")</f>
        <v>#VALUE!</v>
      </c>
      <c r="HH1" t="e">
        <f>AND('Projected Income'!E34,"AAAAADuDd9c=")</f>
        <v>#VALUE!</v>
      </c>
      <c r="HI1" t="e">
        <f>AND('Projected Income'!F34,"AAAAADuDd9g=")</f>
        <v>#VALUE!</v>
      </c>
      <c r="HJ1" t="e">
        <f>IF('Projected Income'!#REF!,"AAAAADuDd9k=",0)</f>
        <v>#REF!</v>
      </c>
      <c r="HK1" t="e">
        <f>AND('Projected Income'!#REF!,"AAAAADuDd9o=")</f>
        <v>#REF!</v>
      </c>
      <c r="HL1" t="e">
        <f>AND('Projected Income'!#REF!,"AAAAADuDd9s=")</f>
        <v>#REF!</v>
      </c>
      <c r="HM1" t="e">
        <f>AND('Projected Income'!#REF!,"AAAAADuDd9w=")</f>
        <v>#REF!</v>
      </c>
      <c r="HN1" t="e">
        <f>AND('Projected Income'!#REF!,"AAAAADuDd90=")</f>
        <v>#REF!</v>
      </c>
      <c r="HO1" t="e">
        <f>AND('Projected Income'!#REF!,"AAAAADuDd94=")</f>
        <v>#REF!</v>
      </c>
      <c r="HP1" t="e">
        <f>AND('Projected Income'!#REF!,"AAAAADuDd98=")</f>
        <v>#REF!</v>
      </c>
      <c r="HQ1">
        <f>IF('Projected Income'!35:35,"AAAAADuDd+A=",0)</f>
        <v>0</v>
      </c>
      <c r="HR1" t="e">
        <f>AND('Projected Income'!A35,"AAAAADuDd+E=")</f>
        <v>#VALUE!</v>
      </c>
      <c r="HS1" t="e">
        <f>AND('Projected Income'!B35,"AAAAADuDd+I=")</f>
        <v>#VALUE!</v>
      </c>
      <c r="HT1" t="e">
        <f>AND('Projected Income'!C35,"AAAAADuDd+M=")</f>
        <v>#VALUE!</v>
      </c>
      <c r="HU1" t="e">
        <f>AND('Projected Income'!D35,"AAAAADuDd+Q=")</f>
        <v>#VALUE!</v>
      </c>
      <c r="HV1" t="e">
        <f>AND('Projected Income'!E35,"AAAAADuDd+U=")</f>
        <v>#VALUE!</v>
      </c>
      <c r="HW1" t="e">
        <f>AND('Projected Income'!F35,"AAAAADuDd+Y=")</f>
        <v>#VALUE!</v>
      </c>
      <c r="HX1">
        <f>IF('Projected Income'!36:36,"AAAAADuDd+c=",0)</f>
        <v>0</v>
      </c>
      <c r="HY1" t="e">
        <f>AND('Projected Income'!A36,"AAAAADuDd+g=")</f>
        <v>#VALUE!</v>
      </c>
      <c r="HZ1" t="e">
        <f>AND('Projected Income'!B36,"AAAAADuDd+k=")</f>
        <v>#VALUE!</v>
      </c>
      <c r="IA1" t="e">
        <f>AND('Projected Income'!C36,"AAAAADuDd+o=")</f>
        <v>#VALUE!</v>
      </c>
      <c r="IB1" t="e">
        <f>AND('Projected Income'!D36,"AAAAADuDd+s=")</f>
        <v>#VALUE!</v>
      </c>
      <c r="IC1" t="e">
        <f>AND('Projected Income'!E36,"AAAAADuDd+w=")</f>
        <v>#VALUE!</v>
      </c>
      <c r="ID1" t="e">
        <f>AND('Projected Income'!F36,"AAAAADuDd+0=")</f>
        <v>#VALUE!</v>
      </c>
      <c r="IE1">
        <f>IF('Projected Income'!37:37,"AAAAADuDd+4=",0)</f>
        <v>0</v>
      </c>
      <c r="IF1" t="e">
        <f>AND('Projected Income'!A37,"AAAAADuDd+8=")</f>
        <v>#VALUE!</v>
      </c>
      <c r="IG1" t="e">
        <f>AND('Projected Income'!B37,"AAAAADuDd/A=")</f>
        <v>#VALUE!</v>
      </c>
      <c r="IH1" t="e">
        <f>AND('Projected Income'!C37,"AAAAADuDd/E=")</f>
        <v>#VALUE!</v>
      </c>
      <c r="II1" t="e">
        <f>AND('Projected Income'!D37,"AAAAADuDd/I=")</f>
        <v>#VALUE!</v>
      </c>
      <c r="IJ1" t="e">
        <f>AND('Projected Income'!E37,"AAAAADuDd/M=")</f>
        <v>#VALUE!</v>
      </c>
      <c r="IK1" t="e">
        <f>AND('Projected Income'!F37,"AAAAADuDd/Q=")</f>
        <v>#VALUE!</v>
      </c>
      <c r="IL1" t="e">
        <f>IF('Projected Income'!#REF!,"AAAAADuDd/U=",0)</f>
        <v>#REF!</v>
      </c>
      <c r="IM1" t="e">
        <f>AND('Projected Income'!#REF!,"AAAAADuDd/Y=")</f>
        <v>#REF!</v>
      </c>
      <c r="IN1" t="e">
        <f>AND('Projected Income'!#REF!,"AAAAADuDd/c=")</f>
        <v>#REF!</v>
      </c>
      <c r="IO1" t="e">
        <f>AND('Projected Income'!#REF!,"AAAAADuDd/g=")</f>
        <v>#REF!</v>
      </c>
      <c r="IP1" t="e">
        <f>AND('Projected Income'!#REF!,"AAAAADuDd/k=")</f>
        <v>#REF!</v>
      </c>
      <c r="IQ1" t="e">
        <f>AND('Projected Income'!#REF!,"AAAAADuDd/o=")</f>
        <v>#REF!</v>
      </c>
      <c r="IR1" t="e">
        <f>AND('Projected Income'!#REF!,"AAAAADuDd/s=")</f>
        <v>#REF!</v>
      </c>
      <c r="IS1">
        <f>IF('Projected Income'!38:38,"AAAAADuDd/w=",0)</f>
        <v>0</v>
      </c>
      <c r="IT1" t="e">
        <f>AND('Projected Income'!A38,"AAAAADuDd/0=")</f>
        <v>#VALUE!</v>
      </c>
      <c r="IU1" t="e">
        <f>AND('Projected Income'!B38,"AAAAADuDd/4=")</f>
        <v>#VALUE!</v>
      </c>
      <c r="IV1" t="e">
        <f>AND('Projected Income'!C38,"AAAAADuDd/8=")</f>
        <v>#VALUE!</v>
      </c>
    </row>
    <row r="2" spans="1:130" ht="12.75">
      <c r="A2" t="e">
        <f>AND('Projected Income'!D38,"AAAAAF5TzwA=")</f>
        <v>#VALUE!</v>
      </c>
      <c r="B2" t="e">
        <f>AND('Projected Income'!E38,"AAAAAF5TzwE=")</f>
        <v>#VALUE!</v>
      </c>
      <c r="C2" t="e">
        <f>AND('Projected Income'!F38,"AAAAAF5TzwI=")</f>
        <v>#VALUE!</v>
      </c>
      <c r="D2" t="e">
        <f>IF('Projected Income'!#REF!,"AAAAAF5TzwM=",0)</f>
        <v>#REF!</v>
      </c>
      <c r="E2" t="e">
        <f>AND('Projected Income'!#REF!,"AAAAAF5TzwQ=")</f>
        <v>#REF!</v>
      </c>
      <c r="F2" t="e">
        <f>AND('Projected Income'!#REF!,"AAAAAF5TzwU=")</f>
        <v>#REF!</v>
      </c>
      <c r="G2" t="e">
        <f>AND('Projected Income'!#REF!,"AAAAAF5TzwY=")</f>
        <v>#REF!</v>
      </c>
      <c r="H2" t="e">
        <f>AND('Projected Income'!#REF!,"AAAAAF5Tzwc=")</f>
        <v>#REF!</v>
      </c>
      <c r="I2" t="e">
        <f>AND('Projected Income'!#REF!,"AAAAAF5Tzwg=")</f>
        <v>#REF!</v>
      </c>
      <c r="J2" t="e">
        <f>AND('Projected Income'!#REF!,"AAAAAF5Tzwk=")</f>
        <v>#REF!</v>
      </c>
      <c r="K2">
        <f>IF('Projected Income'!39:39,"AAAAAF5Tzwo=",0)</f>
        <v>0</v>
      </c>
      <c r="L2" t="e">
        <f>AND('Projected Income'!A39,"AAAAAF5Tzws=")</f>
        <v>#VALUE!</v>
      </c>
      <c r="M2" t="e">
        <f>AND('Projected Income'!B39,"AAAAAF5Tzww=")</f>
        <v>#VALUE!</v>
      </c>
      <c r="N2" t="e">
        <f>AND('Projected Income'!C39,"AAAAAF5Tzw0=")</f>
        <v>#VALUE!</v>
      </c>
      <c r="O2" t="e">
        <f>AND('Projected Income'!D39,"AAAAAF5Tzw4=")</f>
        <v>#VALUE!</v>
      </c>
      <c r="P2" t="e">
        <f>AND('Projected Income'!E39,"AAAAAF5Tzw8=")</f>
        <v>#VALUE!</v>
      </c>
      <c r="Q2" t="e">
        <f>AND('Projected Income'!F39,"AAAAAF5TzxA=")</f>
        <v>#VALUE!</v>
      </c>
      <c r="R2">
        <f>IF('Projected Income'!40:40,"AAAAAF5TzxE=",0)</f>
        <v>0</v>
      </c>
      <c r="S2" t="e">
        <f>AND('Projected Income'!A40,"AAAAAF5TzxI=")</f>
        <v>#VALUE!</v>
      </c>
      <c r="T2" t="e">
        <f>AND('Projected Income'!B40,"AAAAAF5TzxM=")</f>
        <v>#VALUE!</v>
      </c>
      <c r="U2" t="e">
        <f>AND('Projected Income'!C40,"AAAAAF5TzxQ=")</f>
        <v>#VALUE!</v>
      </c>
      <c r="V2" t="e">
        <f>AND('Projected Income'!D40,"AAAAAF5TzxU=")</f>
        <v>#VALUE!</v>
      </c>
      <c r="W2" t="e">
        <f>AND('Projected Income'!E40,"AAAAAF5TzxY=")</f>
        <v>#VALUE!</v>
      </c>
      <c r="X2" t="e">
        <f>AND('Projected Income'!F40,"AAAAAF5Tzxc=")</f>
        <v>#VALUE!</v>
      </c>
      <c r="Y2">
        <f>IF('Projected Income'!41:41,"AAAAAF5Tzxg=",0)</f>
        <v>0</v>
      </c>
      <c r="Z2" t="e">
        <f>AND('Projected Income'!A41,"AAAAAF5Tzxk=")</f>
        <v>#VALUE!</v>
      </c>
      <c r="AA2" t="e">
        <f>AND('Projected Income'!B41,"AAAAAF5Tzxo=")</f>
        <v>#VALUE!</v>
      </c>
      <c r="AB2" t="e">
        <f>AND('Projected Income'!C41,"AAAAAF5Tzxs=")</f>
        <v>#VALUE!</v>
      </c>
      <c r="AC2" t="e">
        <f>AND('Projected Income'!D41,"AAAAAF5Tzxw=")</f>
        <v>#VALUE!</v>
      </c>
      <c r="AD2" t="e">
        <f>AND('Projected Income'!E41,"AAAAAF5Tzx0=")</f>
        <v>#VALUE!</v>
      </c>
      <c r="AE2" t="e">
        <f>AND('Projected Income'!F41,"AAAAAF5Tzx4=")</f>
        <v>#VALUE!</v>
      </c>
      <c r="AF2" t="e">
        <f>IF('Projected Income'!#REF!,"AAAAAF5Tzx8=",0)</f>
        <v>#REF!</v>
      </c>
      <c r="AG2" t="e">
        <f>AND('Projected Income'!#REF!,"AAAAAF5TzyA=")</f>
        <v>#REF!</v>
      </c>
      <c r="AH2" t="e">
        <f>AND('Projected Income'!#REF!,"AAAAAF5TzyE=")</f>
        <v>#REF!</v>
      </c>
      <c r="AI2" t="e">
        <f>AND('Projected Income'!#REF!,"AAAAAF5TzyI=")</f>
        <v>#REF!</v>
      </c>
      <c r="AJ2" t="e">
        <f>AND('Projected Income'!#REF!,"AAAAAF5TzyM=")</f>
        <v>#REF!</v>
      </c>
      <c r="AK2" t="e">
        <f>AND('Projected Income'!#REF!,"AAAAAF5TzyQ=")</f>
        <v>#REF!</v>
      </c>
      <c r="AL2" t="e">
        <f>AND('Projected Income'!#REF!,"AAAAAF5TzyU=")</f>
        <v>#REF!</v>
      </c>
      <c r="AM2">
        <f>IF('Projected Income'!42:42,"AAAAAF5TzyY=",0)</f>
        <v>0</v>
      </c>
      <c r="AN2" t="e">
        <f>AND('Projected Income'!A42,"AAAAAF5Tzyc=")</f>
        <v>#VALUE!</v>
      </c>
      <c r="AO2" t="e">
        <f>AND('Projected Income'!B42,"AAAAAF5Tzyg=")</f>
        <v>#VALUE!</v>
      </c>
      <c r="AP2" t="e">
        <f>AND('Projected Income'!C42,"AAAAAF5Tzyk=")</f>
        <v>#VALUE!</v>
      </c>
      <c r="AQ2" t="e">
        <f>AND('Projected Income'!D42,"AAAAAF5Tzyo=")</f>
        <v>#VALUE!</v>
      </c>
      <c r="AR2" t="e">
        <f>AND('Projected Income'!E42,"AAAAAF5Tzys=")</f>
        <v>#VALUE!</v>
      </c>
      <c r="AS2" t="e">
        <f>AND('Projected Income'!F42,"AAAAAF5Tzyw=")</f>
        <v>#VALUE!</v>
      </c>
      <c r="AT2" t="e">
        <f>IF('Projected Income'!#REF!,"AAAAAF5Tzy0=",0)</f>
        <v>#REF!</v>
      </c>
      <c r="AU2" t="e">
        <f>AND('Projected Income'!#REF!,"AAAAAF5Tzy4=")</f>
        <v>#REF!</v>
      </c>
      <c r="AV2" t="e">
        <f>AND('Projected Income'!#REF!,"AAAAAF5Tzy8=")</f>
        <v>#REF!</v>
      </c>
      <c r="AW2" t="e">
        <f>AND('Projected Income'!#REF!,"AAAAAF5TzzA=")</f>
        <v>#REF!</v>
      </c>
      <c r="AX2" t="e">
        <f>AND('Projected Income'!#REF!,"AAAAAF5TzzE=")</f>
        <v>#REF!</v>
      </c>
      <c r="AY2" t="e">
        <f>AND('Projected Income'!#REF!,"AAAAAF5TzzI=")</f>
        <v>#REF!</v>
      </c>
      <c r="AZ2" t="e">
        <f>AND('Projected Income'!#REF!,"AAAAAF5TzzM=")</f>
        <v>#REF!</v>
      </c>
      <c r="BA2">
        <f>IF('Projected Income'!43:43,"AAAAAF5TzzQ=",0)</f>
        <v>0</v>
      </c>
      <c r="BB2" t="e">
        <f>AND('Projected Income'!A43,"AAAAAF5TzzU=")</f>
        <v>#VALUE!</v>
      </c>
      <c r="BC2" t="e">
        <f>AND('Projected Income'!B43,"AAAAAF5TzzY=")</f>
        <v>#VALUE!</v>
      </c>
      <c r="BD2" t="e">
        <f>AND('Projected Income'!C43,"AAAAAF5Tzzc=")</f>
        <v>#VALUE!</v>
      </c>
      <c r="BE2" t="e">
        <f>AND('Projected Income'!D43,"AAAAAF5Tzzg=")</f>
        <v>#VALUE!</v>
      </c>
      <c r="BF2" t="e">
        <f>AND('Projected Income'!E43,"AAAAAF5Tzzk=")</f>
        <v>#VALUE!</v>
      </c>
      <c r="BG2" t="e">
        <f>AND('Projected Income'!F43,"AAAAAF5Tzzo=")</f>
        <v>#VALUE!</v>
      </c>
      <c r="BH2">
        <f>IF('Projected Income'!44:44,"AAAAAF5Tzzs=",0)</f>
        <v>0</v>
      </c>
      <c r="BI2" t="e">
        <f>AND('Projected Income'!A44,"AAAAAF5Tzzw=")</f>
        <v>#VALUE!</v>
      </c>
      <c r="BJ2" t="e">
        <f>AND('Projected Income'!B44,"AAAAAF5Tzz0=")</f>
        <v>#VALUE!</v>
      </c>
      <c r="BK2" t="e">
        <f>AND('Projected Income'!C44,"AAAAAF5Tzz4=")</f>
        <v>#VALUE!</v>
      </c>
      <c r="BL2" t="e">
        <f>AND('Projected Income'!D44,"AAAAAF5Tzz8=")</f>
        <v>#VALUE!</v>
      </c>
      <c r="BM2" t="e">
        <f>AND('Projected Income'!E44,"AAAAAF5Tz0A=")</f>
        <v>#VALUE!</v>
      </c>
      <c r="BN2" t="e">
        <f>AND('Projected Income'!F44,"AAAAAF5Tz0E=")</f>
        <v>#VALUE!</v>
      </c>
      <c r="BO2">
        <f>IF('Projected Income'!45:45,"AAAAAF5Tz0I=",0)</f>
        <v>0</v>
      </c>
      <c r="BP2" t="e">
        <f>AND('Projected Income'!A45,"AAAAAF5Tz0M=")</f>
        <v>#VALUE!</v>
      </c>
      <c r="BQ2" t="e">
        <f>AND('Projected Income'!B45,"AAAAAF5Tz0Q=")</f>
        <v>#VALUE!</v>
      </c>
      <c r="BR2" t="e">
        <f>AND('Projected Income'!C45,"AAAAAF5Tz0U=")</f>
        <v>#VALUE!</v>
      </c>
      <c r="BS2" t="e">
        <f>AND('Projected Income'!D45,"AAAAAF5Tz0Y=")</f>
        <v>#VALUE!</v>
      </c>
      <c r="BT2" t="e">
        <f>AND('Projected Income'!E45,"AAAAAF5Tz0c=")</f>
        <v>#VALUE!</v>
      </c>
      <c r="BU2" t="e">
        <f>AND('Projected Income'!F45,"AAAAAF5Tz0g=")</f>
        <v>#VALUE!</v>
      </c>
      <c r="BV2">
        <f>IF('Projected Income'!46:46,"AAAAAF5Tz0k=",0)</f>
        <v>0</v>
      </c>
      <c r="BW2" t="e">
        <f>AND('Projected Income'!A46,"AAAAAF5Tz0o=")</f>
        <v>#VALUE!</v>
      </c>
      <c r="BX2" t="e">
        <f>AND('Projected Income'!B46,"AAAAAF5Tz0s=")</f>
        <v>#VALUE!</v>
      </c>
      <c r="BY2" t="e">
        <f>AND('Projected Income'!C46,"AAAAAF5Tz0w=")</f>
        <v>#VALUE!</v>
      </c>
      <c r="BZ2" t="e">
        <f>AND('Projected Income'!D46,"AAAAAF5Tz00=")</f>
        <v>#VALUE!</v>
      </c>
      <c r="CA2" t="e">
        <f>AND('Projected Income'!E46,"AAAAAF5Tz04=")</f>
        <v>#VALUE!</v>
      </c>
      <c r="CB2" t="e">
        <f>AND('Projected Income'!F46,"AAAAAF5Tz08=")</f>
        <v>#VALUE!</v>
      </c>
      <c r="CC2">
        <f>IF('Projected Income'!47:47,"AAAAAF5Tz1A=",0)</f>
        <v>0</v>
      </c>
      <c r="CD2" t="e">
        <f>AND('Projected Income'!A47,"AAAAAF5Tz1E=")</f>
        <v>#VALUE!</v>
      </c>
      <c r="CE2" t="e">
        <f>AND('Projected Income'!B47,"AAAAAF5Tz1I=")</f>
        <v>#VALUE!</v>
      </c>
      <c r="CF2" t="e">
        <f>AND('Projected Income'!C47,"AAAAAF5Tz1M=")</f>
        <v>#VALUE!</v>
      </c>
      <c r="CG2" t="e">
        <f>AND('Projected Income'!D47,"AAAAAF5Tz1Q=")</f>
        <v>#VALUE!</v>
      </c>
      <c r="CH2" t="e">
        <f>AND('Projected Income'!E47,"AAAAAF5Tz1U=")</f>
        <v>#VALUE!</v>
      </c>
      <c r="CI2" t="e">
        <f>AND('Projected Income'!F47,"AAAAAF5Tz1Y=")</f>
        <v>#VALUE!</v>
      </c>
      <c r="CJ2">
        <f>IF('Projected Income'!48:48,"AAAAAF5Tz1c=",0)</f>
        <v>0</v>
      </c>
      <c r="CK2" t="e">
        <f>AND('Projected Income'!A48,"AAAAAF5Tz1g=")</f>
        <v>#VALUE!</v>
      </c>
      <c r="CL2" t="e">
        <f>AND('Projected Income'!B48,"AAAAAF5Tz1k=")</f>
        <v>#VALUE!</v>
      </c>
      <c r="CM2" t="e">
        <f>AND('Projected Income'!C48,"AAAAAF5Tz1o=")</f>
        <v>#VALUE!</v>
      </c>
      <c r="CN2" t="e">
        <f>AND('Projected Income'!D48,"AAAAAF5Tz1s=")</f>
        <v>#VALUE!</v>
      </c>
      <c r="CO2" t="e">
        <f>AND('Projected Income'!E48,"AAAAAF5Tz1w=")</f>
        <v>#VALUE!</v>
      </c>
      <c r="CP2" t="e">
        <f>AND('Projected Income'!F48,"AAAAAF5Tz10=")</f>
        <v>#VALUE!</v>
      </c>
      <c r="CQ2">
        <f>IF('Projected Income'!49:49,"AAAAAF5Tz14=",0)</f>
        <v>0</v>
      </c>
      <c r="CR2" t="e">
        <f>AND('Projected Income'!A49,"AAAAAF5Tz18=")</f>
        <v>#VALUE!</v>
      </c>
      <c r="CS2" t="e">
        <f>AND('Projected Income'!B49,"AAAAAF5Tz2A=")</f>
        <v>#VALUE!</v>
      </c>
      <c r="CT2" t="e">
        <f>AND('Projected Income'!C49,"AAAAAF5Tz2E=")</f>
        <v>#VALUE!</v>
      </c>
      <c r="CU2" t="e">
        <f>AND('Projected Income'!D49,"AAAAAF5Tz2I=")</f>
        <v>#VALUE!</v>
      </c>
      <c r="CV2" t="e">
        <f>AND('Projected Income'!E49,"AAAAAF5Tz2M=")</f>
        <v>#VALUE!</v>
      </c>
      <c r="CW2" t="e">
        <f>AND('Projected Income'!F49,"AAAAAF5Tz2Q=")</f>
        <v>#VALUE!</v>
      </c>
      <c r="CX2">
        <f>IF('Projected Income'!50:50,"AAAAAF5Tz2U=",0)</f>
        <v>0</v>
      </c>
      <c r="CY2" t="e">
        <f>AND('Projected Income'!A50,"AAAAAF5Tz2Y=")</f>
        <v>#VALUE!</v>
      </c>
      <c r="CZ2" t="e">
        <f>AND('Projected Income'!B50,"AAAAAF5Tz2c=")</f>
        <v>#VALUE!</v>
      </c>
      <c r="DA2" t="e">
        <f>AND('Projected Income'!C50,"AAAAAF5Tz2g=")</f>
        <v>#VALUE!</v>
      </c>
      <c r="DB2" t="e">
        <f>AND('Projected Income'!D50,"AAAAAF5Tz2k=")</f>
        <v>#VALUE!</v>
      </c>
      <c r="DC2" t="e">
        <f>AND('Projected Income'!E50,"AAAAAF5Tz2o=")</f>
        <v>#VALUE!</v>
      </c>
      <c r="DD2" t="e">
        <f>AND('Projected Income'!F50,"AAAAAF5Tz2s=")</f>
        <v>#VALUE!</v>
      </c>
      <c r="DE2" t="e">
        <f>IF('Projected Income'!#REF!,"AAAAAF5Tz2w=",0)</f>
        <v>#REF!</v>
      </c>
      <c r="DF2" t="e">
        <f>AND('Projected Income'!#REF!,"AAAAAF5Tz20=")</f>
        <v>#REF!</v>
      </c>
      <c r="DG2" t="e">
        <f>AND('Projected Income'!#REF!,"AAAAAF5Tz24=")</f>
        <v>#REF!</v>
      </c>
      <c r="DH2" t="e">
        <f>AND('Projected Income'!#REF!,"AAAAAF5Tz28=")</f>
        <v>#REF!</v>
      </c>
      <c r="DI2" t="e">
        <f>AND('Projected Income'!#REF!,"AAAAAF5Tz3A=")</f>
        <v>#REF!</v>
      </c>
      <c r="DJ2" t="e">
        <f>AND('Projected Income'!#REF!,"AAAAAF5Tz3E=")</f>
        <v>#REF!</v>
      </c>
      <c r="DK2" t="e">
        <f>AND('Projected Income'!#REF!,"AAAAAF5Tz3I=")</f>
        <v>#REF!</v>
      </c>
      <c r="DL2">
        <f>IF('Projected Income'!51:51,"AAAAAF5Tz3M=",0)</f>
        <v>0</v>
      </c>
      <c r="DM2" t="e">
        <f>AND('Projected Income'!A51,"AAAAAF5Tz3Q=")</f>
        <v>#VALUE!</v>
      </c>
      <c r="DN2" t="e">
        <f>AND('Projected Income'!B51,"AAAAAF5Tz3U=")</f>
        <v>#VALUE!</v>
      </c>
      <c r="DO2" t="e">
        <f>AND('Projected Income'!C51,"AAAAAF5Tz3Y=")</f>
        <v>#VALUE!</v>
      </c>
      <c r="DP2" t="e">
        <f>AND('Projected Income'!D51,"AAAAAF5Tz3c=")</f>
        <v>#VALUE!</v>
      </c>
      <c r="DQ2" t="e">
        <f>AND('Projected Income'!E51,"AAAAAF5Tz3g=")</f>
        <v>#VALUE!</v>
      </c>
      <c r="DR2" t="e">
        <f>AND('Projected Income'!F51,"AAAAAF5Tz3k=")</f>
        <v>#VALUE!</v>
      </c>
      <c r="DS2" t="e">
        <f>IF('Projected Income'!A:A,"AAAAAF5Tz3o=",0)</f>
        <v>#VALUE!</v>
      </c>
      <c r="DT2">
        <f>IF('Projected Income'!B:B,"AAAAAF5Tz3s=",0)</f>
        <v>0</v>
      </c>
      <c r="DU2">
        <f>IF('Projected Income'!C:C,"AAAAAF5Tz3w=",0)</f>
        <v>0</v>
      </c>
      <c r="DV2">
        <f>IF('Projected Income'!D:D,"AAAAAF5Tz30=",0)</f>
        <v>0</v>
      </c>
      <c r="DW2">
        <f>IF('Projected Income'!E:E,"AAAAAF5Tz34=",0)</f>
        <v>0</v>
      </c>
      <c r="DX2">
        <f>IF('Projected Income'!F:F,"AAAAAF5Tz38=",0)</f>
        <v>0</v>
      </c>
      <c r="DY2" s="3" t="s">
        <v>41</v>
      </c>
      <c r="DZ2" t="s">
        <v>42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Fire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Scholl</dc:creator>
  <cp:keywords/>
  <dc:description/>
  <cp:lastModifiedBy>sscholl</cp:lastModifiedBy>
  <cp:lastPrinted>2016-01-19T19:16:15Z</cp:lastPrinted>
  <dcterms:created xsi:type="dcterms:W3CDTF">2008-08-25T15:10:32Z</dcterms:created>
  <dcterms:modified xsi:type="dcterms:W3CDTF">2016-02-18T20:16:57Z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11zKk5FWtueKb9gqeZs4gtwO-wwpxCRWeMgiJnolisUs</vt:lpwstr>
  </property>
  <property fmtid="{D5CDD505-2E9C-101B-9397-08002B2CF9AE}" pid="4" name="Google.Documents.RevisionId">
    <vt:lpwstr>13633291794196109624</vt:lpwstr>
  </property>
  <property fmtid="{D5CDD505-2E9C-101B-9397-08002B2CF9AE}" pid="5" name="Google.Documents.PreviousRevisionId">
    <vt:lpwstr>02477523982345153105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